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Q+l9tGwPgN9XYHfmZlWb/e+DrF1rX1dNAa803asQ1mi5xj0khxPUIClCnVrvKgfltDYclpCOvpLuQ12WdMScdA==" workbookSaltValue="gMsQDy7UiVGqgBjAx2bU1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E18" i="12"/>
  <c r="ER19" i="8"/>
  <c r="AE13" i="21"/>
  <c r="EL19" i="8"/>
  <c r="BE12" i="21"/>
  <c r="EQ19" i="8"/>
  <c r="EN19" i="8"/>
  <c r="E15" i="3"/>
  <c r="BA13" i="16"/>
  <c r="F16" i="10"/>
  <c r="ES19" i="8"/>
  <c r="G18" i="12"/>
  <c r="C18" i="7"/>
  <c r="W19" i="8"/>
  <c r="R8" i="9"/>
  <c r="X12" i="21" s="1"/>
  <c r="R19" i="8"/>
  <c r="EP19" i="8"/>
  <c r="EP19" i="19"/>
  <c r="BJ17" i="11"/>
  <c r="BL17" i="11"/>
  <c r="S13" i="16"/>
  <c r="P13" i="16"/>
  <c r="W13" i="20"/>
  <c r="H13" i="12"/>
  <c r="AJ19" i="8"/>
  <c r="AZ17" i="11"/>
  <c r="BJ11" i="11"/>
  <c r="BL11" i="11"/>
  <c r="T15" i="16"/>
  <c r="BV16" i="16"/>
  <c r="BU9" i="17"/>
  <c r="BV9" i="16"/>
  <c r="T13" i="16"/>
  <c r="AZ12" i="11"/>
  <c r="T16" i="11"/>
  <c r="Q17" i="17"/>
  <c r="BI9" i="11"/>
  <c r="BJ10" i="11"/>
  <c r="BH11" i="11"/>
  <c r="T11" i="11"/>
  <c r="AQ12" i="21"/>
  <c r="BL16" i="11"/>
  <c r="BD9" i="8"/>
  <c r="I19" i="8"/>
  <c r="U9" i="17"/>
  <c r="U19" i="17" s="1"/>
  <c r="AP13" i="16"/>
  <c r="F11" i="11"/>
  <c r="AQ11" i="11" s="1"/>
  <c r="BF15" i="13"/>
  <c r="BF16" i="13"/>
  <c r="Z20" i="20"/>
  <c r="H20" i="20"/>
  <c r="G18" i="14"/>
  <c r="AK20" i="20"/>
  <c r="T20" i="20"/>
  <c r="O16" i="11"/>
  <c r="AG19" i="8" l="1"/>
  <c r="AV18" i="21"/>
  <c r="M18" i="2"/>
  <c r="AO12" i="11"/>
  <c r="B12" i="6"/>
  <c r="E10" i="6"/>
  <c r="L12" i="2"/>
  <c r="BJ16" i="11"/>
  <c r="BH16" i="11"/>
  <c r="BG16" i="11"/>
  <c r="BK16" i="11"/>
  <c r="AQ10" i="21"/>
  <c r="BH10" i="11"/>
  <c r="BG12" i="11"/>
  <c r="T15" i="11"/>
  <c r="BU17" i="17"/>
  <c r="BV15" i="16"/>
  <c r="BW9" i="20"/>
  <c r="BM15" i="11"/>
  <c r="BI17" i="11"/>
  <c r="Q10" i="21"/>
  <c r="BK15" i="11"/>
  <c r="BF10" i="11"/>
  <c r="BH15" i="16"/>
  <c r="BH9" i="16"/>
  <c r="AY13" i="8"/>
  <c r="BD12" i="8"/>
  <c r="BE12" i="8"/>
  <c r="I12" i="7" s="1"/>
  <c r="L11" i="14"/>
  <c r="BE15" i="13"/>
  <c r="V10" i="16"/>
  <c r="X15" i="16"/>
  <c r="X18" i="16" s="1"/>
  <c r="S15" i="17"/>
  <c r="L10" i="2"/>
  <c r="BK10" i="11"/>
  <c r="BH12" i="16"/>
  <c r="BM9" i="11"/>
  <c r="S17" i="17"/>
  <c r="BF15" i="11"/>
  <c r="BM17" i="11"/>
  <c r="Q15" i="17"/>
  <c r="BH10" i="16"/>
  <c r="BL10" i="11"/>
  <c r="BL15" i="11"/>
  <c r="BF12" i="11"/>
  <c r="P15" i="17"/>
  <c r="S15" i="16"/>
  <c r="X17" i="17"/>
  <c r="AZ11" i="11"/>
  <c r="S11" i="14"/>
  <c r="V11" i="14" s="1"/>
  <c r="BU16" i="17"/>
  <c r="BV10" i="16"/>
  <c r="BW15" i="20"/>
  <c r="BW16" i="20"/>
  <c r="BW17" i="20"/>
  <c r="BU15" i="17"/>
  <c r="T17" i="16"/>
  <c r="BH17" i="11"/>
  <c r="BG9" i="11"/>
  <c r="R10" i="21"/>
  <c r="R13" i="21" s="1"/>
  <c r="V9" i="11"/>
  <c r="BI10" i="11"/>
  <c r="X9" i="17"/>
  <c r="X11" i="17"/>
  <c r="BK9" i="11"/>
  <c r="BK12" i="11"/>
  <c r="Q17" i="20"/>
  <c r="Q18" i="20" s="1"/>
  <c r="BH15" i="11"/>
  <c r="V15" i="11"/>
  <c r="AP16" i="20"/>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P18" i="17" s="1"/>
  <c r="P19" i="17" s="1"/>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P20" i="20"/>
  <c r="S20" i="20"/>
  <c r="W20" i="21"/>
  <c r="U16" i="11"/>
  <c r="AX20" i="20"/>
  <c r="Y20" i="20"/>
  <c r="O10" i="11"/>
  <c r="AM20" i="20"/>
  <c r="Q20" i="20"/>
  <c r="AB20" i="20"/>
  <c r="AI20" i="20"/>
  <c r="AZ20" i="20"/>
  <c r="AV20" i="20"/>
  <c r="AU20" i="20"/>
  <c r="M20" i="20"/>
  <c r="AQ20" i="21"/>
  <c r="AP20" i="20"/>
  <c r="AH20" i="20"/>
  <c r="N20" i="20"/>
  <c r="AD20" i="20"/>
  <c r="AE20" i="20"/>
  <c r="AG20" i="20"/>
  <c r="L20" i="20"/>
  <c r="J20" i="20"/>
  <c r="U12" i="11"/>
  <c r="I20" i="20"/>
  <c r="T20" i="21"/>
  <c r="AB21" i="21" l="1"/>
  <c r="I12"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E20" i="17"/>
  <c r="N20" i="11"/>
  <c r="AD20" i="17"/>
  <c r="U20" i="16"/>
  <c r="L20" i="11"/>
  <c r="BA20" i="16"/>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<sst xmlns="http://schemas.openxmlformats.org/spreadsheetml/2006/main" count="2094" uniqueCount="914">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</sst>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na2bTD8ivnD5Jyq8+6LDQHVvJOWl2b59sJRDHws7sV84UXjinDALmllOFEOcSJIJDB1c5vQD3eHyp5C5Of4eQ==" saltValue="LoXRcLB3d8fx5VRs8Ul+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17.364779874213838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142</v>
      </c>
      <c r="D16" s="225">
        <f>IF(ISNUMBER(IF(D_I="SI",Datos!I16,Datos!I16+Datos!AC16)),IF(D_I="SI",Datos!I16,Datos!I16+Datos!AC16)," - ")</f>
        <v>141</v>
      </c>
      <c r="E16" s="226">
        <f>IF(ISNUMBER(IF(D_I="SI",Datos!J16,Datos!J16+Datos!AD16)),IF(D_I="SI",Datos!J16,Datos!J16+Datos!AD16)," - ")</f>
        <v>66</v>
      </c>
      <c r="F16" s="226">
        <f>IF(ISNUMBER(IF(D_I="SI",Datos!K16,Datos!K16+Datos!AE16)),IF(D_I="SI",Datos!K16,Datos!K16+Datos!AE16)," - ")</f>
        <v>81</v>
      </c>
      <c r="G16" s="1034" t="str">
        <f>IF(Datos!E16&lt;&gt;"",Datos!E16,Datos!D16)</f>
        <v>04</v>
      </c>
      <c r="H16" s="227">
        <f>IF(ISNUMBER(IF(D_I="SI",Datos!L16,Datos!L16+Datos!AF16)),IF(D_I="SI",Datos!L16,Datos!L16+Datos!AF16)," - ")</f>
        <v>127</v>
      </c>
      <c r="I16" s="1044" t="str">
        <f>IF(ISNUMBER(Datos!AS16/Datos!BM16),Datos!AS16/Datos!BM16," - ")</f>
        <v xml:space="preserve"> - </v>
      </c>
      <c r="J16" s="1045">
        <f>IF(ISNUMBER(Datos!BY16/Datos!CN16),Datos!BY16/Datos!CN16," - ")</f>
        <v>0</v>
      </c>
      <c r="K16" s="230">
        <f t="shared" si="3"/>
        <v>-0.10563380281690141</v>
      </c>
      <c r="L16" s="1025">
        <f>IF(ISNUMBER(NºAsuntos!I16/NºAsuntos!G16),(NºAsuntos!I16/NºAsuntos!G16)*11," - ")</f>
        <v>17.246913580246915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11</v>
      </c>
      <c r="F17" s="226">
        <f>IF(ISNUMBER(IF(D_I="SI",Datos!K17,Datos!K17+Datos!AE17)),IF(D_I="SI",Datos!K17,Datos!K17+Datos!AE17)," - ")</f>
        <v>12</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10.083333333333332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154</v>
      </c>
      <c r="D18" s="1049">
        <f>SUBTOTAL(9,D15:D17)</f>
        <v>153</v>
      </c>
      <c r="E18" s="1050">
        <f>SUBTOTAL(9,E15:E17)</f>
        <v>77</v>
      </c>
      <c r="F18" s="1050">
        <f>SUBTOTAL(9,F15:F17)</f>
        <v>93</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156</v>
      </c>
      <c r="D19" s="1071">
        <f>SUBTOTAL(9,D9:D18)</f>
        <v>155</v>
      </c>
      <c r="E19" s="1072">
        <f>SUBTOTAL(9,E9:E18)</f>
        <v>78</v>
      </c>
      <c r="F19" s="1072">
        <f>SUBTOTAL(9,F9:F18)</f>
        <v>94</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SH9Pn/mJZSNemqdlyt/uFJ6Sr/MSRYl6/suKfGTB0iVR9D5joe5GFeDoH2WUn1upiRRmBPHt7AVo86/QA1LBA==" saltValue="26GGQYvCv0Uhw0TTtdre5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JkNgfnbTyqNlvHAZveyCZg5hoEAjoCuVLSH/V4VehcyZ4c8J9jQOfx1vABt7qOn6pvJeQBIa5WGk+vFU27f2Q==" saltValue="7+LPYQLtVPUSgmK+5e8E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1</v>
      </c>
      <c r="L10" s="181">
        <v>2</v>
      </c>
      <c r="M10" s="181">
        <v>1</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181</v>
      </c>
      <c r="J12" s="183">
        <v>86</v>
      </c>
      <c r="K12" s="183">
        <v>110</v>
      </c>
      <c r="L12" s="183">
        <v>157</v>
      </c>
      <c r="M12" s="183">
        <v>20</v>
      </c>
      <c r="N12" s="183">
        <v>104</v>
      </c>
      <c r="O12" s="181">
        <v>50</v>
      </c>
      <c r="P12" s="183">
        <v>16</v>
      </c>
      <c r="Q12" s="183">
        <v>10</v>
      </c>
      <c r="R12" s="183">
        <v>210</v>
      </c>
      <c r="S12" s="183">
        <v>126</v>
      </c>
      <c r="T12" s="183">
        <v>65</v>
      </c>
      <c r="U12" s="183">
        <v>52</v>
      </c>
      <c r="V12" s="183">
        <v>139</v>
      </c>
      <c r="W12" s="183">
        <v>12</v>
      </c>
      <c r="X12" s="189">
        <v>44</v>
      </c>
      <c r="Y12" s="191">
        <v>103</v>
      </c>
      <c r="Z12" s="181">
        <v>40</v>
      </c>
      <c r="AA12" s="181">
        <v>49</v>
      </c>
      <c r="AB12" s="181">
        <v>94</v>
      </c>
      <c r="AC12" s="183">
        <v>0</v>
      </c>
      <c r="AD12" s="183">
        <v>0</v>
      </c>
      <c r="AE12" s="183">
        <v>0</v>
      </c>
      <c r="AF12" s="189">
        <v>0</v>
      </c>
      <c r="AG12" s="202">
        <v>74</v>
      </c>
      <c r="AH12" s="183">
        <v>37</v>
      </c>
      <c r="AI12" s="183">
        <v>29</v>
      </c>
      <c r="AJ12" s="203">
        <v>82</v>
      </c>
      <c r="AK12" s="182">
        <v>0</v>
      </c>
      <c r="AL12" s="183">
        <v>0</v>
      </c>
      <c r="AM12" s="183">
        <v>0</v>
      </c>
      <c r="AN12" s="189">
        <v>0</v>
      </c>
      <c r="AO12" s="259">
        <v>1</v>
      </c>
      <c r="AP12" s="155">
        <v>1</v>
      </c>
      <c r="AQ12" s="155">
        <v>1</v>
      </c>
      <c r="AR12" s="154">
        <v>1</v>
      </c>
      <c r="AS12" s="340" t="s">
        <v>802</v>
      </c>
      <c r="AT12" s="203"/>
      <c r="AU12" s="202"/>
      <c r="AV12" s="203"/>
      <c r="AW12" s="202"/>
      <c r="AX12" s="203"/>
      <c r="AY12" s="126">
        <f t="shared" si="1"/>
        <v>200</v>
      </c>
      <c r="AZ12" s="127">
        <f t="shared" si="1"/>
        <v>102</v>
      </c>
      <c r="BA12" s="127">
        <f t="shared" si="1"/>
        <v>81</v>
      </c>
      <c r="BB12" s="127">
        <f t="shared" si="1"/>
        <v>221</v>
      </c>
      <c r="BC12" s="125">
        <f>IF(ISNUMBER(X12),X12," - ")</f>
        <v>44</v>
      </c>
      <c r="BD12" s="126">
        <f t="shared" si="2"/>
        <v>0.79411764705882348</v>
      </c>
      <c r="BE12" s="127">
        <f t="shared" si="3"/>
        <v>2.7283950617283952</v>
      </c>
      <c r="BF12" s="127">
        <f t="shared" si="4"/>
        <v>0.54320987654320985</v>
      </c>
      <c r="BG12" s="196">
        <f t="shared" si="5"/>
        <v>3.7283950617283952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183</v>
      </c>
      <c r="J13" s="184">
        <f t="shared" si="6"/>
        <v>87</v>
      </c>
      <c r="K13" s="184">
        <f t="shared" si="6"/>
        <v>111</v>
      </c>
      <c r="L13" s="184">
        <f t="shared" si="6"/>
        <v>159</v>
      </c>
      <c r="M13" s="184">
        <f t="shared" si="6"/>
        <v>21</v>
      </c>
      <c r="N13" s="184">
        <f t="shared" si="6"/>
        <v>104</v>
      </c>
      <c r="O13" s="184">
        <f t="shared" si="6"/>
        <v>50</v>
      </c>
      <c r="P13" s="184">
        <f t="shared" si="6"/>
        <v>16</v>
      </c>
      <c r="Q13" s="184">
        <f t="shared" si="6"/>
        <v>10</v>
      </c>
      <c r="R13" s="184">
        <f t="shared" si="6"/>
        <v>210</v>
      </c>
      <c r="S13" s="184">
        <f t="shared" si="6"/>
        <v>127</v>
      </c>
      <c r="T13" s="184">
        <f t="shared" si="6"/>
        <v>65</v>
      </c>
      <c r="U13" s="184">
        <f t="shared" si="6"/>
        <v>52</v>
      </c>
      <c r="V13" s="184">
        <f t="shared" si="6"/>
        <v>140</v>
      </c>
      <c r="W13" s="184">
        <f t="shared" si="6"/>
        <v>12</v>
      </c>
      <c r="X13" s="184">
        <f t="shared" si="6"/>
        <v>44</v>
      </c>
      <c r="Y13" s="184">
        <f t="shared" si="6"/>
        <v>103</v>
      </c>
      <c r="Z13" s="184">
        <f t="shared" si="6"/>
        <v>40</v>
      </c>
      <c r="AA13" s="184">
        <f t="shared" si="6"/>
        <v>49</v>
      </c>
      <c r="AB13" s="184">
        <f t="shared" si="6"/>
        <v>94</v>
      </c>
      <c r="AC13" s="184">
        <f t="shared" si="6"/>
        <v>0</v>
      </c>
      <c r="AD13" s="184">
        <f t="shared" si="6"/>
        <v>0</v>
      </c>
      <c r="AE13" s="184">
        <f t="shared" si="6"/>
        <v>0</v>
      </c>
      <c r="AF13" s="184">
        <f>SUBTOTAL(9,AF9:AF12)</f>
        <v>0</v>
      </c>
      <c r="AG13" s="184">
        <f t="shared" ref="AG13:AT13" si="7">SUBTOTAL(9,AG8:AG12)</f>
        <v>74</v>
      </c>
      <c r="AH13" s="184">
        <f t="shared" si="7"/>
        <v>37</v>
      </c>
      <c r="AI13" s="184">
        <f t="shared" si="7"/>
        <v>29</v>
      </c>
      <c r="AJ13" s="184">
        <f t="shared" si="7"/>
        <v>82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201</v>
      </c>
      <c r="AZ13" s="184">
        <f>SUBTOTAL(9,AZ8:AZ12)</f>
        <v>102</v>
      </c>
      <c r="BA13" s="184">
        <f>SUBTOTAL(9,BA8:BA12)</f>
        <v>81</v>
      </c>
      <c r="BB13" s="184">
        <f>SUBTOTAL(9,BB8:BB12)</f>
        <v>222</v>
      </c>
      <c r="BC13" s="184">
        <f>SUBTOTAL(9,BC8:BC12)</f>
        <v>44</v>
      </c>
      <c r="BD13" s="205">
        <f>IF(ISNUMBER(BA13/AZ13),BA13/AZ13," - ")</f>
        <v>0.79411764705882348</v>
      </c>
      <c r="BE13" s="206">
        <f>IF(ISNUMBER(BB13/BA13),BB13/BA13, " - ")</f>
        <v>2.7407407407407409</v>
      </c>
      <c r="BF13" s="206">
        <f>IF(ISNUMBER(BC13/BA13),BC13/BA13, " - ")</f>
        <v>0.54320987654320985</v>
      </c>
      <c r="BG13" s="207">
        <f>IF(ISNUMBER((AY13+AZ13)/BA13),(AY13+AZ13)/BA13," - ")</f>
        <v>3.7407407407407409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141</v>
      </c>
      <c r="J16" s="183">
        <v>66</v>
      </c>
      <c r="K16" s="183">
        <v>81</v>
      </c>
      <c r="L16" s="183">
        <v>127</v>
      </c>
      <c r="M16" s="183">
        <v>13</v>
      </c>
      <c r="N16" s="183">
        <v>43</v>
      </c>
      <c r="O16" s="181">
        <v>1</v>
      </c>
      <c r="P16" s="183">
        <v>3</v>
      </c>
      <c r="Q16" s="183">
        <v>1</v>
      </c>
      <c r="R16" s="183">
        <v>9</v>
      </c>
      <c r="S16" s="183">
        <v>87</v>
      </c>
      <c r="T16" s="183">
        <v>80</v>
      </c>
      <c r="U16" s="183">
        <v>41</v>
      </c>
      <c r="V16" s="183">
        <v>126</v>
      </c>
      <c r="W16" s="183">
        <v>1</v>
      </c>
      <c r="X16" s="189">
        <v>29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87</v>
      </c>
      <c r="AZ16" s="127">
        <f t="shared" si="9"/>
        <v>80</v>
      </c>
      <c r="BA16" s="127">
        <f t="shared" si="9"/>
        <v>41</v>
      </c>
      <c r="BB16" s="127">
        <f t="shared" si="9"/>
        <v>126</v>
      </c>
      <c r="BC16" s="125">
        <f>IF(ISNUMBER(W16),W16," - ")</f>
        <v>1</v>
      </c>
      <c r="BD16" s="126">
        <f t="shared" ref="BD16" si="11">IF(ISNUMBER(BA16/AZ16),BA16/AZ16," - ")</f>
        <v>0.51249999999999996</v>
      </c>
      <c r="BE16" s="127">
        <f t="shared" ref="BE16" si="12">IF(ISNUMBER(BB16/BA16),BB16/BA16, " - ")</f>
        <v>3.0731707317073171</v>
      </c>
      <c r="BF16" s="127">
        <f t="shared" ref="BF16" si="13">IF(ISNUMBER(BC16/BA16),BC16/BA16, " - ")</f>
        <v>2.4390243902439025E-2</v>
      </c>
      <c r="BG16" s="196">
        <f t="shared" si="10"/>
        <v>4.0731707317073171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v>
      </c>
      <c r="J17" s="183">
        <v>11</v>
      </c>
      <c r="K17" s="183">
        <v>12</v>
      </c>
      <c r="L17" s="183">
        <v>11</v>
      </c>
      <c r="M17" s="183">
        <v>1</v>
      </c>
      <c r="N17" s="183">
        <v>8</v>
      </c>
      <c r="O17" s="183">
        <v>0</v>
      </c>
      <c r="P17" s="183">
        <v>0</v>
      </c>
      <c r="Q17" s="183">
        <v>0</v>
      </c>
      <c r="R17" s="183">
        <v>0</v>
      </c>
      <c r="S17" s="183">
        <v>5</v>
      </c>
      <c r="T17" s="183">
        <v>7</v>
      </c>
      <c r="U17" s="183">
        <v>3</v>
      </c>
      <c r="V17" s="183">
        <v>9</v>
      </c>
      <c r="W17" s="183">
        <v>0</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7</v>
      </c>
      <c r="BA17" s="129">
        <f t="shared" si="14"/>
        <v>3</v>
      </c>
      <c r="BB17" s="129">
        <f t="shared" si="14"/>
        <v>9</v>
      </c>
      <c r="BC17" s="125">
        <f>IF(ISNUMBER(W17),W17," - ")</f>
        <v>0</v>
      </c>
      <c r="BD17" s="126">
        <f>IF(ISNUMBER(BA17/AZ17),BA17/AZ17," - ")</f>
        <v>0.42857142857142855</v>
      </c>
      <c r="BE17" s="127">
        <f>IF(ISNUMBER(BB17/BA17),BB17/BA17, " - ")</f>
        <v>3</v>
      </c>
      <c r="BF17" s="127">
        <f>IF(ISNUMBER(BC17/BA17),BC17/BA17, " - ")</f>
        <v>0</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153</v>
      </c>
      <c r="J18" s="184">
        <f t="shared" si="15"/>
        <v>77</v>
      </c>
      <c r="K18" s="184">
        <f t="shared" si="15"/>
        <v>93</v>
      </c>
      <c r="L18" s="184">
        <f t="shared" si="15"/>
        <v>138</v>
      </c>
      <c r="M18" s="184">
        <f t="shared" si="15"/>
        <v>14</v>
      </c>
      <c r="N18" s="184">
        <f t="shared" si="15"/>
        <v>51</v>
      </c>
      <c r="O18" s="184">
        <f t="shared" si="15"/>
        <v>1</v>
      </c>
      <c r="P18" s="184">
        <f t="shared" si="15"/>
        <v>3</v>
      </c>
      <c r="Q18" s="184">
        <f t="shared" si="15"/>
        <v>1</v>
      </c>
      <c r="R18" s="184">
        <f t="shared" si="15"/>
        <v>9</v>
      </c>
      <c r="S18" s="184">
        <f t="shared" si="15"/>
        <v>92</v>
      </c>
      <c r="T18" s="184">
        <f t="shared" si="15"/>
        <v>87</v>
      </c>
      <c r="U18" s="184">
        <f t="shared" si="15"/>
        <v>44</v>
      </c>
      <c r="V18" s="184">
        <f t="shared" si="15"/>
        <v>135</v>
      </c>
      <c r="W18" s="184">
        <f t="shared" si="15"/>
        <v>1</v>
      </c>
      <c r="X18" s="184">
        <f t="shared" si="15"/>
        <v>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92</v>
      </c>
      <c r="AZ18" s="184">
        <f>SUBTOTAL(9,AZ14:AZ17)</f>
        <v>87</v>
      </c>
      <c r="BA18" s="184">
        <f>SUBTOTAL(9,BA14:BA17)</f>
        <v>44</v>
      </c>
      <c r="BB18" s="184">
        <f>SUBTOTAL(9,BB14:BB17)</f>
        <v>135</v>
      </c>
      <c r="BC18" s="184">
        <f>SUBTOTAL(9,BC14:BC17)</f>
        <v>1</v>
      </c>
      <c r="BD18" s="205">
        <f>IF(ISNUMBER(BA18/AZ18),BA18/AZ18," - ")</f>
        <v>0.50574712643678166</v>
      </c>
      <c r="BE18" s="206">
        <f>IF(ISNUMBER(BB18/BA18),BB18/BA18, " - ")</f>
        <v>3.0681818181818183</v>
      </c>
      <c r="BF18" s="206">
        <f>IF(ISNUMBER(BC18/BA18),BC18/BA18, " - ")</f>
        <v>2.2727272727272728E-2</v>
      </c>
      <c r="BG18" s="207">
        <f>IF(ISNUMBER((AY18+AZ18)/BA18),(AY18+AZ18)/BA18," - ")</f>
        <v>4.0681818181818183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336</v>
      </c>
      <c r="J19" s="134">
        <f t="shared" si="18"/>
        <v>164</v>
      </c>
      <c r="K19" s="134">
        <f t="shared" si="18"/>
        <v>204</v>
      </c>
      <c r="L19" s="134">
        <f t="shared" si="18"/>
        <v>297</v>
      </c>
      <c r="M19" s="134">
        <f t="shared" si="18"/>
        <v>35</v>
      </c>
      <c r="N19" s="134">
        <f t="shared" si="18"/>
        <v>155</v>
      </c>
      <c r="O19" s="134">
        <f t="shared" si="18"/>
        <v>51</v>
      </c>
      <c r="P19" s="134">
        <f t="shared" si="18"/>
        <v>19</v>
      </c>
      <c r="Q19" s="134">
        <f t="shared" si="18"/>
        <v>11</v>
      </c>
      <c r="R19" s="134">
        <f t="shared" si="18"/>
        <v>219</v>
      </c>
      <c r="S19" s="134">
        <f t="shared" si="18"/>
        <v>219</v>
      </c>
      <c r="T19" s="134">
        <f t="shared" si="18"/>
        <v>152</v>
      </c>
      <c r="U19" s="134">
        <f t="shared" si="18"/>
        <v>96</v>
      </c>
      <c r="V19" s="134">
        <f t="shared" si="18"/>
        <v>275</v>
      </c>
      <c r="W19" s="134">
        <f t="shared" si="18"/>
        <v>13</v>
      </c>
      <c r="X19" s="134">
        <f t="shared" si="18"/>
        <v>80</v>
      </c>
      <c r="Y19" s="134">
        <f t="shared" si="18"/>
        <v>103</v>
      </c>
      <c r="Z19" s="134">
        <f t="shared" si="18"/>
        <v>40</v>
      </c>
      <c r="AA19" s="134">
        <f t="shared" si="18"/>
        <v>49</v>
      </c>
      <c r="AB19" s="134">
        <f t="shared" si="18"/>
        <v>94</v>
      </c>
      <c r="AC19" s="134">
        <f t="shared" si="18"/>
        <v>0</v>
      </c>
      <c r="AD19" s="134">
        <f t="shared" si="18"/>
        <v>0</v>
      </c>
      <c r="AE19" s="134">
        <f t="shared" si="18"/>
        <v>0</v>
      </c>
      <c r="AF19" s="134">
        <f t="shared" si="18"/>
        <v>0</v>
      </c>
      <c r="AG19" s="134">
        <f t="shared" si="18"/>
        <v>74</v>
      </c>
      <c r="AH19" s="134">
        <f t="shared" si="18"/>
        <v>37</v>
      </c>
      <c r="AI19" s="134">
        <f t="shared" si="18"/>
        <v>29</v>
      </c>
      <c r="AJ19" s="134">
        <f t="shared" si="18"/>
        <v>82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293</v>
      </c>
      <c r="AZ19" s="134">
        <f>SUBTOTAL(9,AZ9:AZ18)</f>
        <v>189</v>
      </c>
      <c r="BA19" s="134">
        <f>SUBTOTAL(9,BA9:BA18)</f>
        <v>125</v>
      </c>
      <c r="BB19" s="134">
        <f>SUBTOTAL(9,BB9:BB18)</f>
        <v>357</v>
      </c>
      <c r="BC19" s="135">
        <f>SUBTOTAL(9,BC9:BC18)</f>
        <v>45</v>
      </c>
      <c r="BD19" s="213">
        <f>IF(ISNUMBER(BA19/AZ19),BA19/AZ19," - ")</f>
        <v>0.66137566137566139</v>
      </c>
      <c r="BE19" s="210">
        <f>IF(ISNUMBER(BB19/BA19),BB19/BA19, " - ")</f>
        <v>2.8559999999999999</v>
      </c>
      <c r="BF19" s="210">
        <f>IF(ISNUMBER(BC19/BA19),BC19/BA19, " - ")</f>
        <v>0.36</v>
      </c>
      <c r="BG19" s="135">
        <f>IF(ISNUMBER((AY19+AZ19)/BA19),(AY19+AZ19)/BA19," - ")</f>
        <v>3.8559999999999999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TE/5tknALoi7V8NrTAdKkaLsjOb5x2jUtlSNfPuQ4mTLYiI0/uHp8qB1KMSlBatzGFvNONRunvTsNmJgCyLg==" saltValue="B0l0rTAxCGPYJM+rDdw0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7vYYCQTWCMoVJPMkcnYxOLonqsh7RfhMpZhOuJS/xmeCwJWJLNtTmG2fczGGSJCoUr02TOclO5IvixRAzj3YA==" saltValue="vxsiXDnlUkowtQFEn4Au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A POBRA DE TRIVES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16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94</v>
      </c>
      <c r="AI12" s="334" t="str">
        <f>IF(ISNUMBER(Datos!CD12),Datos!CD12,"-")</f>
        <v>-</v>
      </c>
      <c r="AJ12" s="334" t="str">
        <f>IF(ISNUMBER(Datos!EN12),Datos!EN12," - ")</f>
        <v xml:space="preserve"> - </v>
      </c>
      <c r="AK12" s="334"/>
      <c r="AL12" s="479"/>
      <c r="AM12" s="335">
        <f>IF(ISNUMBER(Datos!R12),Datos!R12," - ")</f>
        <v>210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v>
      </c>
      <c r="BD12" s="229">
        <f>IF(ISNUMBER(Datos!N12),Datos!N12," - ")</f>
        <v>104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1.2619047619047619</v>
      </c>
      <c r="BH12" s="260">
        <f>IF(ISNUMBER(((IF(J_V="SI",Datos!L12/Datos!K12,(Datos!L12+Datos!AB12)/(Datos!K12+Datos!AA12)))*11)/factor_trimestre),((IF(J_V="SI",Datos!L12/Datos!K12,(Datos!L12+Datos!AB12)/(Datos!K12+Datos!AA12)))*11)/factor_trimestre," - ")</f>
        <v>4.7358490566037741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2.9411764705882353E-2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16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10</v>
      </c>
      <c r="AD13" s="899">
        <f t="shared" si="1"/>
        <v>0</v>
      </c>
      <c r="AE13" s="899">
        <f t="shared" si="1"/>
        <v>0</v>
      </c>
      <c r="AF13" s="899">
        <f t="shared" si="1"/>
        <v>2</v>
      </c>
      <c r="AG13" s="899">
        <f t="shared" si="1"/>
        <v>0</v>
      </c>
      <c r="AH13" s="899">
        <f t="shared" si="1"/>
        <v>94</v>
      </c>
      <c r="AI13" s="899">
        <f t="shared" si="1"/>
        <v>0</v>
      </c>
      <c r="AJ13" s="899">
        <f t="shared" si="1"/>
        <v>0</v>
      </c>
      <c r="AK13" s="899">
        <f t="shared" si="1"/>
        <v>0</v>
      </c>
      <c r="AL13" s="899">
        <f t="shared" si="1"/>
        <v>0</v>
      </c>
      <c r="AM13" s="899">
        <f t="shared" si="1"/>
        <v>210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v>
      </c>
      <c r="BD13" s="899">
        <f t="shared" si="1"/>
        <v>104</v>
      </c>
      <c r="BE13" s="899">
        <f t="shared" si="1"/>
        <v>0</v>
      </c>
      <c r="BF13" s="899">
        <f t="shared" si="1"/>
        <v>0</v>
      </c>
      <c r="BG13" s="899">
        <f>IF(ISNUMBER(Datos!K13/Datos!J13),Datos!K13/Datos!J13," - ")</f>
        <v>1.2758620689655173</v>
      </c>
      <c r="BH13" s="903">
        <f>IF(ISNUMBER(((Datos!L13/Datos!K13)*11)/factor_trimestre),((Datos!L13/Datos!K13)*11)/factor_trimestre," - ")</f>
        <v>4.2972972972972974</v>
      </c>
      <c r="BI13" s="899">
        <f>IF(ISNUMBER('Resol  Asuntos'!D13/NºAsuntos!G13),'Resol  Asuntos'!D13/NºAsuntos!G13," - ")</f>
        <v>0.13125000000000001</v>
      </c>
      <c r="BJ13" s="899" t="str">
        <f>IF(ISNUMBER(Datos!CI13/Datos!CJ13),Datos!CI13/Datos!CJ13," - ")</f>
        <v xml:space="preserve"> - </v>
      </c>
      <c r="BK13" s="899">
        <f>SUBTOTAL(9,BK8:BK12)</f>
        <v>0</v>
      </c>
      <c r="BL13" s="899">
        <f>IF(ISNUMBER((I13-AB13+L13)/(F13)),(I13-AB13+L13)/(F13)," - ")</f>
        <v>-0.5</v>
      </c>
      <c r="BM13" s="904">
        <f>SUBTOTAL(9,BM9:BM12)</f>
        <v>2.9411764705882353E-2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142</v>
      </c>
      <c r="G16" s="598">
        <f>IF(ISNUMBER(IF(D_I="SI",Datos!I16,Datos!I16+Datos!AC16)),IF(D_I="SI",Datos!I16,Datos!I16+Datos!AC16)," - ")</f>
        <v>141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v>
      </c>
      <c r="AC16" s="226">
        <f>IF(ISNUMBER(Datos!Q16),Datos!Q16," - ")</f>
        <v>1</v>
      </c>
      <c r="AD16" s="334"/>
      <c r="AE16" s="484"/>
      <c r="AF16" s="596">
        <f>IF(ISNUMBER(IF(D_I="SI",Datos!L16,Datos!L16+Datos!AF16)),IF(D_I="SI",Datos!L16,Datos!L16+Datos!AF16)," - ")</f>
        <v>127</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v>
      </c>
      <c r="BD16" s="229">
        <f>IF(ISNUMBER(Datos!N16),Datos!N16," - ")</f>
        <v>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1.2272727272727273</v>
      </c>
      <c r="BH16" s="260">
        <f>IF(ISNUMBER(((IF(D_I="SI",Datos!L16/Datos!K16,(Datos!L16+Datos!AF16)/(Datos!K16+Datos!AE16)))*11)/factor_trimestre),((IF(D_I="SI",Datos!L16/Datos!K16,(Datos!L16+Datos!AF16)/(Datos!K16+Datos!AE16)))*11)/factor_trimestre," - ")</f>
        <v>4.7037037037037042</v>
      </c>
      <c r="BI16" s="243">
        <f>IF(ISNUMBER('Resol  Asuntos'!D16/NºAsuntos!G16),'Resol  Asuntos'!D16/NºAsuntos!G16," - ")</f>
        <v>0.16049382716049382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1.0909090909090908</v>
      </c>
      <c r="BH17" s="260">
        <f>IF(ISNUMBER(((IF(D_I="SI",Datos!L17/Datos!K17,(Datos!L17+Datos!AF17)/(Datos!K17+Datos!AE17)))*11)/factor_trimestre),((IF(D_I="SI",Datos!L17/Datos!K17,(Datos!L17+Datos!AF17)/(Datos!K17+Datos!AE17)))*11)/factor_trimestre," - ")</f>
        <v>2.75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142</v>
      </c>
      <c r="G18" s="898">
        <f>SUBTOTAL(9,G15:G17)</f>
        <v>153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93</v>
      </c>
      <c r="AC18" s="899">
        <f t="shared" si="4"/>
        <v>1</v>
      </c>
      <c r="AD18" s="899">
        <f t="shared" si="4"/>
        <v>0</v>
      </c>
      <c r="AE18" s="899">
        <f t="shared" si="4"/>
        <v>0</v>
      </c>
      <c r="AF18" s="899">
        <f t="shared" si="4"/>
        <v>138</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51</v>
      </c>
      <c r="BE18" s="899">
        <f t="shared" si="4"/>
        <v>0</v>
      </c>
      <c r="BF18" s="899">
        <f t="shared" si="4"/>
        <v>0</v>
      </c>
      <c r="BG18" s="899">
        <f>IF(ISNUMBER(Datos!K18/Datos!J18),Datos!K18/Datos!J18," - ")</f>
        <v>1.2077922077922079</v>
      </c>
      <c r="BH18" s="903">
        <f>IF(ISNUMBER(((Datos!L18/Datos!K18)*11)/factor_trimestre),((Datos!L18/Datos!K18)*11)/factor_trimestre," - ")</f>
        <v>4.4516129032258069</v>
      </c>
      <c r="BI18" s="899">
        <f>SUBTOTAL(9,BI15:BI17)</f>
        <v>0.24382716049382713</v>
      </c>
      <c r="BJ18" s="899">
        <f>SUBTOTAL(9,BJ15:BJ17)</f>
        <v>0</v>
      </c>
      <c r="BK18" s="899">
        <f>SUBTOTAL(9,BK15:BK17)</f>
        <v>0</v>
      </c>
      <c r="BL18" s="899">
        <f>IF(ISNUMBER((I18-AB18+L18)/(F18)),(I18-AB18+L18)/(F18)," - ")</f>
        <v>-0.65492957746478875</v>
      </c>
      <c r="BM18" s="905">
        <f>IF(ISNUMBER((Datos!P18-Datos!Q18)/(Datos!R18-Datos!P18+Datos!Q18)),(Datos!P18-Datos!Q18)/(Datos!R18-Datos!P18+Datos!Q18)," - ")</f>
        <v>0.2857142857142857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144</v>
      </c>
      <c r="G19" s="820">
        <f t="shared" si="6"/>
        <v>155</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94</v>
      </c>
      <c r="AC19" s="821">
        <f t="shared" si="7"/>
        <v>11</v>
      </c>
      <c r="AD19" s="821">
        <f t="shared" si="7"/>
        <v>0</v>
      </c>
      <c r="AE19" s="821">
        <f t="shared" si="7"/>
        <v>0</v>
      </c>
      <c r="AF19" s="828">
        <f t="shared" si="7"/>
        <v>140</v>
      </c>
      <c r="AG19" s="828">
        <f t="shared" si="7"/>
        <v>0</v>
      </c>
      <c r="AH19" s="828">
        <f t="shared" si="7"/>
        <v>94</v>
      </c>
      <c r="AI19" s="828">
        <f t="shared" si="7"/>
        <v>0</v>
      </c>
      <c r="AJ19" s="821">
        <f t="shared" si="7"/>
        <v>0</v>
      </c>
      <c r="AK19" s="828">
        <f t="shared" si="7"/>
        <v>0</v>
      </c>
      <c r="AL19" s="828">
        <f t="shared" si="7"/>
        <v>0</v>
      </c>
      <c r="AM19" s="828">
        <f t="shared" si="7"/>
        <v>219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v>
      </c>
      <c r="BD19" s="820">
        <f t="shared" si="7"/>
        <v>155</v>
      </c>
      <c r="BE19" s="820">
        <f t="shared" si="7"/>
        <v>0</v>
      </c>
      <c r="BF19" s="830">
        <f t="shared" si="7"/>
        <v>0</v>
      </c>
      <c r="BG19" s="915">
        <f>IF(ISNUMBER(Datos!K19/Datos!J19),Datos!K19/Datos!J19," - ")</f>
        <v>1.2439024390243902</v>
      </c>
      <c r="BH19" s="915">
        <f>IF(ISNUMBER(((Datos!L19/Datos!K19)*11)/factor_trimestre),((Datos!L19/Datos!K19)*11)/factor_trimestre," - ")</f>
        <v>4.3676470588235299</v>
      </c>
      <c r="BI19" s="813">
        <f>IF(ISNUMBER(Datos!J19/Datos!I19),Datos!J19/Datos!I19," - ")</f>
        <v>0.48809523809523808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-0.65277777777777779</v>
      </c>
      <c r="BM19" s="889">
        <f>IF(ISNUMBER((Datos!P19-Datos!Q19+R19)/(Datos!R19-Datos!P19+Datos!Q19-R19)),(Datos!P19-Datos!Q19+R19)/(Datos!R19-Datos!P19+Datos!Q19-R19)," - ")</f>
        <v>3.7914691943127965E-2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80.829037686547608</v>
      </c>
      <c r="G21" s="552">
        <f>IF(ISNUMBER(STDEV(G8:G18)),STDEV(G8:G18),"-")</f>
        <v>77.817093237925562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45.517029780072427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8.8468450120179387</v>
      </c>
      <c r="BD21" s="551"/>
      <c r="BE21" s="551">
        <f>IF(ISNUMBER(STDEV(BE8:BE18)),STDEV(BE8:BE18),"-")</f>
        <v>0</v>
      </c>
      <c r="BF21" s="556">
        <f>IF(ISNUMBER(STDEV(BF8:BF18)),STDEV(BF8:BF18),"-")</f>
        <v>0</v>
      </c>
      <c r="BG21" s="775">
        <f>IF(ISNUMBER(STDEV(BG8:BG18)),STDEV(BG8:BG18),"-")</f>
        <v>0.10881008590513166</v>
      </c>
      <c r="BH21" s="776">
        <f>IF(ISNUMBER(STDEV(BH8:BH18)),STDEV(BH8:BH18),"-")</f>
        <v>1.044262279189389</v>
      </c>
      <c r="BI21" s="249">
        <f>IF(ISNUMBER(STDEV(BI8:BI18)),STDEV(BI8:BI18),"-")</f>
        <v>6.7380313794787428E-2</v>
      </c>
      <c r="BJ21" s="230" t="str">
        <f>IF(ISNUMBER(BL21/BM21),BL21/BM21," - ")</f>
        <v xml:space="preserve"> - </v>
      </c>
      <c r="BK21" s="575"/>
      <c r="BL21" s="559">
        <f>IF(ISNUMBER(STDEV(BL8:BL18)),STDEV(BL8:BL18),"-")</f>
        <v>0.10955175483171894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KequoWjZGYytVstYTkfvxPvaZMmIkf1s4tdGG3+QBqdZjOqMnn8qcSNv1x/vAbWTTS1VGD+IjFq5VgU40tSwg==" saltValue="k40MoTbicUc6aMSTvL9+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A POBRA DE TRIVES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v>
      </c>
      <c r="AA12" s="332" t="str">
        <f>IF(ISNUMBER(IF(J_V="SI",Datos!L12,Datos!L12+Datos!AB12)-IF(Monitorios="SI",Datos!CD12,0)),
                          IF(J_V="SI",Datos!L12,Datos!L12+Datos!AB12)-IF(Monitorios="SI",Datos!CD12,0),
                          " - ")</f>
        <v xml:space="preserve"> - </v>
      </c>
      <c r="AB12" s="334"/>
      <c r="AC12" s="334"/>
      <c r="AD12" s="484"/>
      <c r="AE12" s="484">
        <f>IF(ISNUMBER(Datos!R12),Datos!R12," - ")</f>
        <v>210</v>
      </c>
      <c r="AF12" s="229" t="str">
        <f>IF(ISNUMBER(Datos!BV12),Datos!BV12," - ")</f>
        <v xml:space="preserve"> - </v>
      </c>
      <c r="AG12" s="225" t="str">
        <f>IF(ISNUMBER(Datos!DV12),Datos!DV12," - ")</f>
        <v xml:space="preserve"> - </v>
      </c>
      <c r="AH12" s="298"/>
      <c r="AI12" s="227"/>
      <c r="AJ12" s="225">
        <f>IF(ISNUMBER(Datos!M12),Datos!M12," - ")</f>
        <v>20</v>
      </c>
      <c r="AK12" s="229">
        <f>IF(ISNUMBER(Datos!N12),Datos!N12," - ")</f>
        <v>104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4.7358490566037741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2.9411764705882353E-2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10</v>
      </c>
      <c r="AA13" s="900">
        <f t="shared" si="2"/>
        <v>2</v>
      </c>
      <c r="AB13" s="900">
        <f t="shared" si="2"/>
        <v>0</v>
      </c>
      <c r="AC13" s="900">
        <f t="shared" si="2"/>
        <v>0</v>
      </c>
      <c r="AD13" s="900">
        <f t="shared" si="2"/>
        <v>0</v>
      </c>
      <c r="AE13" s="900">
        <f t="shared" si="2"/>
        <v>210</v>
      </c>
      <c r="AF13" s="908">
        <f t="shared" si="2"/>
        <v>0</v>
      </c>
      <c r="AG13" s="908">
        <f t="shared" si="2"/>
        <v>0</v>
      </c>
      <c r="AH13" s="908">
        <f t="shared" si="2"/>
        <v>0</v>
      </c>
      <c r="AI13" s="908">
        <f t="shared" si="2"/>
        <v>0</v>
      </c>
      <c r="AJ13" s="908">
        <f t="shared" si="2"/>
        <v>21</v>
      </c>
      <c r="AK13" s="908">
        <f t="shared" si="2"/>
        <v>104</v>
      </c>
      <c r="AL13" s="908">
        <f t="shared" si="2"/>
        <v>0</v>
      </c>
      <c r="AM13" s="908">
        <f t="shared" si="2"/>
        <v>0</v>
      </c>
      <c r="AN13" s="908">
        <f t="shared" si="2"/>
        <v>0</v>
      </c>
      <c r="AO13" s="904">
        <f>IF(ISNUMBER(((NºAsuntos!I13/NºAsuntos!G13)*11)/factor_trimestre),((NºAsuntos!I13/NºAsuntos!G13)*11)/factor_trimestre," - ")</f>
        <v>4.7437500000000004</v>
      </c>
      <c r="AP13" s="910" t="str">
        <f>IF(ISNUMBER(Datos!CI13/Datos!CJ13),Datos!CI13/Datos!CJ13," - ")</f>
        <v xml:space="preserve"> - </v>
      </c>
      <c r="AQ13" s="928">
        <f t="shared" ref="AQ13:AV13" si="3">SUBTOTAL(9,AQ9:AQ12)</f>
        <v>0</v>
      </c>
      <c r="AR13" s="928">
        <f t="shared" si="3"/>
        <v>2.9411764705882353E-2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142</v>
      </c>
      <c r="G16" s="225">
        <f>IF(ISNUMBER(IF(D_I="SI",Datos!I16,Datos!I16+Datos!AC16)),IF(D_I="SI",Datos!I16,Datos!I16+Datos!AC16)," - ")</f>
        <v>141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v>
      </c>
      <c r="Z16" s="619">
        <f>IF(ISNUMBER(Datos!Q16),Datos!Q16," - ")</f>
        <v>1</v>
      </c>
      <c r="AA16" s="332">
        <f>IF(ISNUMBER(IF(D_I="SI",Datos!L16,Datos!L16+Datos!AF16)),IF(D_I="SI",Datos!L16,Datos!L16+Datos!AF16)," - ")</f>
        <v>127</v>
      </c>
      <c r="AB16" s="334"/>
      <c r="AC16" s="334"/>
      <c r="AD16" s="484"/>
      <c r="AE16" s="484">
        <f>IF(ISNUMBER(Datos!R16),Datos!R16," - ")</f>
        <v>9</v>
      </c>
      <c r="AF16" s="229" t="str">
        <f>IF(ISNUMBER(Datos!BV16),Datos!BV16," - ")</f>
        <v xml:space="preserve"> - </v>
      </c>
      <c r="AG16" s="225"/>
      <c r="AH16" s="298"/>
      <c r="AI16" s="227"/>
      <c r="AJ16" s="225">
        <f>IF(ISNUMBER(Datos!M16),Datos!M16," - ")</f>
        <v>13</v>
      </c>
      <c r="AK16" s="229">
        <f>IF(ISNUMBER(Datos!N16),Datos!N16," - ")</f>
        <v>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4.7037037037037042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142</v>
      </c>
      <c r="G18" s="898">
        <f>SUBTOTAL(9,G15:G17)</f>
        <v>153</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93</v>
      </c>
      <c r="Z18" s="932">
        <f t="shared" si="5"/>
        <v>1</v>
      </c>
      <c r="AA18" s="932">
        <f t="shared" si="5"/>
        <v>138</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14</v>
      </c>
      <c r="AK18" s="932">
        <f t="shared" si="5"/>
        <v>51</v>
      </c>
      <c r="AL18" s="932">
        <f t="shared" si="5"/>
        <v>0</v>
      </c>
      <c r="AM18" s="932">
        <f t="shared" si="5"/>
        <v>0</v>
      </c>
      <c r="AN18" s="932">
        <f t="shared" si="5"/>
        <v>0</v>
      </c>
      <c r="AO18" s="934">
        <f>IF(ISNUMBER(((NºAsuntos!I18/NºAsuntos!G18)*11)/factor_trimestre),((NºAsuntos!I18/NºAsuntos!G18)*11)/factor_trimestre," - ")</f>
        <v>4.4516129032258069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144</v>
      </c>
      <c r="G19" s="820">
        <f t="shared" si="7"/>
        <v>155</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94</v>
      </c>
      <c r="Z19" s="827">
        <f t="shared" si="8"/>
        <v>11</v>
      </c>
      <c r="AA19" s="828">
        <f t="shared" si="8"/>
        <v>140</v>
      </c>
      <c r="AB19" s="828">
        <f t="shared" si="8"/>
        <v>0</v>
      </c>
      <c r="AC19" s="828">
        <f t="shared" si="8"/>
        <v>0</v>
      </c>
      <c r="AD19" s="829">
        <f t="shared" si="8"/>
        <v>0</v>
      </c>
      <c r="AE19" s="829">
        <f t="shared" si="8"/>
        <v>219</v>
      </c>
      <c r="AF19" s="830">
        <f t="shared" si="8"/>
        <v>0</v>
      </c>
      <c r="AG19" s="831">
        <f t="shared" si="8"/>
        <v>0</v>
      </c>
      <c r="AH19" s="832">
        <f t="shared" si="8"/>
        <v>0</v>
      </c>
      <c r="AI19" s="830">
        <f t="shared" si="8"/>
        <v>0</v>
      </c>
      <c r="AJ19" s="820">
        <f t="shared" si="8"/>
        <v>35</v>
      </c>
      <c r="AK19" s="820">
        <f t="shared" si="8"/>
        <v>155</v>
      </c>
      <c r="AL19" s="820">
        <f t="shared" si="8"/>
        <v>0</v>
      </c>
      <c r="AM19" s="833">
        <f t="shared" si="8"/>
        <v>0</v>
      </c>
      <c r="AN19" s="823">
        <f>IF(ISNUMBER(Datos!K19/Datos!J19),Datos!K19/Datos!J19," - ")</f>
        <v>1.2439024390243902</v>
      </c>
      <c r="AO19" s="823">
        <f>IF(ISNUMBER(FIND("06",Criterios!A8,1)),(IF(ISNUMBER(((Datos!R19/Datos!Q19)*11)/factor_trimestre),((Datos!R19/Datos!Q19)*11)/factor_trimestre," - ")),(IF(ISNUMBER(((Datos!L19/Datos!K19)*11)/factor_trimestre),((Datos!L19/Datos!K19)*11)/factor_trimestre," - ")))</f>
        <v>4.3676470588235299</v>
      </c>
      <c r="AP19" s="834" t="str">
        <f>IF(ISNUMBER(Datos!CI19/Datos!CJ19),Datos!CI19/Datos!CJ19," - ")</f>
        <v xml:space="preserve"> - </v>
      </c>
      <c r="AQ19" s="834">
        <f>IF(OR(ISNUMBER(FIND("01",Criterios!A8,1)),ISNUMBER(FIND("02",Criterios!A8,1)),ISNUMBER(FIND("03",Criterios!A8,1)),ISNUMBER(FIND("04",Criterios!A8,1))),(J19-Y19+K19)/(F19-K19),(I19-Y19+K19)/(F19-K19))</f>
        <v>-0.65277777777777779</v>
      </c>
      <c r="AR19" s="834">
        <f>IF(ISNUMBER((Datos!P19-Datos!Q19+O19)/(Datos!R19-Datos!P19+Datos!Q19-O19)),(Datos!P19-Datos!Q19+O19)/(Datos!R19-Datos!P19+Datos!Q19-O19)," - ")</f>
        <v>3.7914691943127965E-2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80.829037686547608</v>
      </c>
      <c r="G21" s="552">
        <f>IF(ISNUMBER(STDEV(G8:G18)),STDEV(G8:G18),"-")</f>
        <v>77.817093237925562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8.8468450120179387</v>
      </c>
      <c r="AK21" s="252"/>
      <c r="AL21" s="252">
        <f>IF(ISNUMBER(STDEV(AL8:AL18)),STDEV(AL8:AL18),"-")</f>
        <v>0</v>
      </c>
      <c r="AM21" s="254">
        <f>IF(ISNUMBER(STDEV(AM8:AM18)),STDEV(AM8:AM18),"-")</f>
        <v>0</v>
      </c>
      <c r="AN21" s="539">
        <f>IF(ISNUMBER(STDEV(AN8:AN18)),STDEV(AN8:AN18),"-")</f>
        <v>0</v>
      </c>
      <c r="AO21" s="540">
        <f>IF(ISNUMBER(STDEV(AO8:AO18)),STDEV(AO8:AO18),"-")</f>
        <v>1.0437127962581978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56CpJJcta3yjIhOGot2fsFziDUZvydNz8Y5wlwF1YCckCssz/rvjyKshXLW4g/dS3ADd7E3jI9x0uDSjJivg==" saltValue="fvwD4DFSiR652zdh5TkI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3WyBsq9qmc3BcLz4OjoEskzKEl+7wZPhc2JVP0SKt5lG8CVKKIt1Mq2AJGAmP7iLeGAZDR0AP0x0U7Lrxxn+AQ==" saltValue="u9QxDW1sYGCGASu3YX6q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ebTa0VsgXHZsltGc72KYSJGibK+Xrr1PpJKA9Vsl0xMCdeELVSqg1sL1AjlTWkEpwdDaJE+ZxAZ25qTYjSnQ==" saltValue="E3Xy2OjXWmHBQltmLQC0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A POBRA DE TRIVES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0.13125000000000001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9.280776503073436E-2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nsqAzncdgIcQk4avBtreAwnYq7C5nJTomSwAQhNNBd35fPsEqxXdxK/Tu5IFUu1L3k/19aaIHIUaSwGtTdeJA==" saltValue="8f8jC/4HUF0OIykOdG01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ryi7goWG73gaB5r4D2sjdz1/7jjSUibNvRu/PZYdNfCbEkM/XjNCp2FMAsiL3unQixKbQhEAklgIu3lpX9Vxg==" saltValue="YEjz1QF7e8seSoqsfjqU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A POBRA DE TRIVES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284</v>
      </c>
      <c r="D12" s="404">
        <f>IF(ISNUMBER(C12/Datos!BH12),C12/Datos!BH12," - ")</f>
        <v>284</v>
      </c>
      <c r="E12" s="403">
        <f>IF(ISNUMBER(IF(J_V="SI",Datos!J12,Datos!J12+Datos!Z12)),IF(J_V="SI",Datos!J12,Datos!J12+Datos!Z12)," - ")</f>
        <v>126</v>
      </c>
      <c r="F12" s="404">
        <f>IF(ISNUMBER(E12/B12),E12/B12," - ")</f>
        <v>126</v>
      </c>
      <c r="G12" s="403">
        <f>IF(ISNUMBER(IF(J_V="SI",Datos!K12,Datos!K12+Datos!AA12)),IF(J_V="SI",Datos!K12,Datos!K12+Datos!AA12)," - ")</f>
        <v>159</v>
      </c>
      <c r="H12" s="404">
        <f>IF(ISNUMBER(G12/B12),G12/B12," - ")</f>
        <v>159</v>
      </c>
      <c r="I12" s="403">
        <f>IF(ISNUMBER(IF(J_V="SI",Datos!L12,Datos!L12+Datos!AB12)),IF(J_V="SI",Datos!L12,Datos!L12+Datos!AB12)," - ")</f>
        <v>251</v>
      </c>
      <c r="J12" s="404">
        <f>IF(ISNUMBER(I12/B12),I12/B12," - ")</f>
        <v>251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286</v>
      </c>
      <c r="D13" s="850" t="str">
        <f>IF(ISNUMBER(C13/Datos!BI13),C13/Datos!BI13," - ")</f>
        <v xml:space="preserve"> - </v>
      </c>
      <c r="E13" s="849">
        <f>SUBTOTAL(9,E8:E12)</f>
        <v>127</v>
      </c>
      <c r="F13" s="850">
        <f>IF(ISNUMBER(E13/B13),E13/B13," - ")</f>
        <v>127</v>
      </c>
      <c r="G13" s="849">
        <f>SUBTOTAL(9,G8:G12)</f>
        <v>160</v>
      </c>
      <c r="H13" s="850">
        <f>IF(ISNUMBER(G13/B13),G13/B13," - ")</f>
        <v>160</v>
      </c>
      <c r="I13" s="849">
        <f>SUBTOTAL(9,I8:I12)</f>
        <v>253</v>
      </c>
      <c r="J13" s="850">
        <f>IF(ISNUMBER(I13/B13),I13/B13," - ")</f>
        <v>253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141</v>
      </c>
      <c r="D16" s="404">
        <f>IF(ISNUMBER(C16/Datos!BH16),C16/Datos!BH16," - ")</f>
        <v>141</v>
      </c>
      <c r="E16" s="403">
        <f>IF(ISNUMBER(IF(D_I="SI",Datos!J16,Datos!J16+Datos!AD16)),IF(D_I="SI",Datos!J16,Datos!J16+Datos!AD16)," - ")</f>
        <v>66</v>
      </c>
      <c r="F16" s="404">
        <f>IF(ISNUMBER(E16/B16),E16/B16," - ")</f>
        <v>66</v>
      </c>
      <c r="G16" s="403">
        <f>IF(ISNUMBER(IF(D_I="SI",Datos!K16,Datos!K16+Datos!AE16)),IF(D_I="SI",Datos!K16,Datos!K16+Datos!AE16)," - ")</f>
        <v>81</v>
      </c>
      <c r="H16" s="404">
        <f>IF(ISNUMBER(G16/B16),G16/B16," - ")</f>
        <v>81</v>
      </c>
      <c r="I16" s="403">
        <f>IF(ISNUMBER(IF(D_I="SI",Datos!L16,Datos!L16+Datos!AF16)),IF(D_I="SI",Datos!L16,Datos!L16+Datos!AF16)," - ")</f>
        <v>127</v>
      </c>
      <c r="J16" s="404">
        <f>IF(ISNUMBER(I16/B16),I16/B16," - ")</f>
        <v>127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11</v>
      </c>
      <c r="F17" s="404">
        <f>IF(ISNUMBER(E17/B17),E17/B17," - ")</f>
        <v>11</v>
      </c>
      <c r="G17" s="403">
        <f>IF(ISNUMBER(IF(D_I="SI",Datos!K17,Datos!K17+Datos!AE17)),IF(D_I="SI",Datos!K17,Datos!K17+Datos!AE17)," - ")</f>
        <v>12</v>
      </c>
      <c r="H17" s="404">
        <f>IF(ISNUMBER(G17/B17),G17/B17," - ")</f>
        <v>12</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153</v>
      </c>
      <c r="D18" s="850" t="str">
        <f>IF(ISNUMBER(C18/Datos!BI18),C18/Datos!BI18," - ")</f>
        <v xml:space="preserve"> - </v>
      </c>
      <c r="E18" s="849">
        <f>SUBTOTAL(9,E14:E17)</f>
        <v>77</v>
      </c>
      <c r="F18" s="850">
        <f>IF(ISNUMBER(E18/B18),E18/B18," - ")</f>
        <v>77</v>
      </c>
      <c r="G18" s="849">
        <f>SUBTOTAL(9,G14:G17)</f>
        <v>93</v>
      </c>
      <c r="H18" s="850">
        <f>IF(ISNUMBER(G18/B18),G18/B18," - ")</f>
        <v>93</v>
      </c>
      <c r="I18" s="849">
        <f>SUBTOTAL(9,I14:I17)</f>
        <v>138</v>
      </c>
      <c r="J18" s="850">
        <f>IF(ISNUMBER(I18/B18),I18/B18," - ")</f>
        <v>138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439</v>
      </c>
      <c r="D19" s="795" t="str">
        <f>IF(ISNUMBER(C19/Datos!BI19),C19/Datos!BI19," - ")</f>
        <v xml:space="preserve"> - </v>
      </c>
      <c r="E19" s="794">
        <f>SUBTOTAL(9,E9:E18)</f>
        <v>204</v>
      </c>
      <c r="F19" s="795">
        <f>IF(ISNUMBER(E19/B19),E19/B19," - ")</f>
        <v>204</v>
      </c>
      <c r="G19" s="794">
        <f>SUBTOTAL(9,G9:G18)</f>
        <v>253</v>
      </c>
      <c r="H19" s="795">
        <f>IF(ISNUMBER(G19/B19),G19/B19," - ")</f>
        <v>253</v>
      </c>
      <c r="I19" s="794">
        <f>SUBTOTAL(9,I9:I18)</f>
        <v>391</v>
      </c>
      <c r="J19" s="795">
        <f>IF(ISNUMBER(I19/B19),I19/B19," - ")</f>
        <v>391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2MoASVwJSwc9CqsJEKOxlqZaDE4UoIEqtYZ1e1TZVUnc5twCHlG9Atcx0NAC7mYDsuTV3lfTdfzToD34S7BSkQ==" saltValue="roR08/Df3JcmJcuW6tOs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A POBRA DE TRIVES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v>
      </c>
      <c r="AM12" s="690">
        <f>IF(ISNUMBER(Datos!N12+DatosP!N16),Datos!N12+DatosP!N16," - ")</f>
        <v>104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4.7358490566037741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2.9411764705882353E-2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10</v>
      </c>
      <c r="AE13" s="939">
        <f t="shared" si="1"/>
        <v>0</v>
      </c>
      <c r="AF13" s="939">
        <f t="shared" si="1"/>
        <v>2</v>
      </c>
      <c r="AG13" s="939">
        <f t="shared" si="1"/>
        <v>0</v>
      </c>
      <c r="AH13" s="939">
        <f t="shared" si="1"/>
        <v>210</v>
      </c>
      <c r="AI13" s="939">
        <f t="shared" si="1"/>
        <v>0</v>
      </c>
      <c r="AJ13" s="939">
        <f t="shared" si="1"/>
        <v>0</v>
      </c>
      <c r="AK13" s="939">
        <f t="shared" si="1"/>
        <v>0</v>
      </c>
      <c r="AL13" s="939">
        <f t="shared" si="1"/>
        <v>21</v>
      </c>
      <c r="AM13" s="939">
        <f t="shared" si="1"/>
        <v>104</v>
      </c>
      <c r="AN13" s="939">
        <f t="shared" si="1"/>
        <v>0</v>
      </c>
      <c r="AO13" s="939">
        <f t="shared" si="1"/>
        <v>0</v>
      </c>
      <c r="AP13" s="944">
        <f>IF(ISNUMBER(((Datos!L13/Datos!K13)*11)/factor_trimestre),((Datos!L13/Datos!K13)*11)/factor_trimestre," - ")</f>
        <v>4.2972972972972974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2.9411764705882353E-2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4.4516129032258069</v>
      </c>
      <c r="AQ18" s="944">
        <f>IF(ISNUMBER(((Datos!M18/Datos!L18)*11)/factor_trimestre),((Datos!M18/Datos!L18)*11)/factor_trimestre," - ")</f>
        <v>0.30434782608695654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0.2857142857142857</v>
      </c>
      <c r="AW18" s="946">
        <f>IF(ISNUMBER((Datos!Q18-Datos!R18)/(Datos!S18-Datos!Q18+Datos!R18)),(Datos!Q18-Datos!R18)/(Datos!S18-Datos!Q18+Datos!R18)," - ")</f>
        <v>-0.08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10</v>
      </c>
      <c r="AE19" s="957">
        <f t="shared" si="5"/>
        <v>0</v>
      </c>
      <c r="AF19" s="958">
        <f t="shared" si="5"/>
        <v>2</v>
      </c>
      <c r="AG19" s="958">
        <f t="shared" si="5"/>
        <v>0</v>
      </c>
      <c r="AH19" s="958">
        <f t="shared" si="5"/>
        <v>210</v>
      </c>
      <c r="AI19" s="958">
        <f t="shared" si="5"/>
        <v>0</v>
      </c>
      <c r="AJ19" s="959">
        <f t="shared" si="5"/>
        <v>0</v>
      </c>
      <c r="AK19" s="959">
        <f t="shared" si="5"/>
        <v>0</v>
      </c>
      <c r="AL19" s="951">
        <f t="shared" si="5"/>
        <v>21</v>
      </c>
      <c r="AM19" s="951">
        <f t="shared" si="5"/>
        <v>104</v>
      </c>
      <c r="AN19" s="951">
        <f t="shared" si="5"/>
        <v>0</v>
      </c>
      <c r="AO19" s="951">
        <f t="shared" si="5"/>
        <v>0</v>
      </c>
      <c r="AP19" s="951">
        <f>IF(ISNUMBER(((Datos!L19/Datos!K19)*11)/factor_trimestre),((Datos!L19/Datos!K19)*11)/factor_trimestre," - ")</f>
        <v>4.3676470588235299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3.7914691943127965E-2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11.561430130683084</v>
      </c>
      <c r="AM21" s="736"/>
      <c r="AN21" s="736">
        <f>IF(ISNUMBER(STDEV(AN8:AN18)),STDEV(AN8:AN18),"-")</f>
        <v>0</v>
      </c>
      <c r="AO21" s="742">
        <f>IF(ISNUMBER(STDEV(AO8:AO18)),STDEV(AO8:AO18),"-")</f>
        <v>0</v>
      </c>
      <c r="AP21" s="779">
        <f>IF(ISNUMBER(STDEV(AP8:AP18)),STDEV(AP8:AP18),"-")</f>
        <v>0.77415049385592472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jsXHu3EkjOvWhXnxJf9IkmlBrLt+uSJjwDHvRVuZM4yYUwdkpeaSseAB9t4GDzKVjxnnFJGexpBLa0WYh6y8A==" saltValue="mRmbqqKEwEy8Pc37TS99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A POBRA DE TRIVES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Qc2NYK/xE6/TVE6Y0rx5h4f5LPyBVPq5CS9p26k6FFzZK6fGUOCvQYhTd4IPqmHm+zeDEkaisws3RK6umbBoQ==" saltValue="rhVAb100LzOa/n564Xpp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A POBRA DE TRIVES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20</v>
      </c>
      <c r="E12" s="404">
        <f t="shared" si="0"/>
        <v>20</v>
      </c>
      <c r="F12" s="403">
        <f>IF(ISNUMBER(Datos!N12),Datos!N12," - ")</f>
        <v>104</v>
      </c>
      <c r="G12" s="404">
        <f t="shared" si="1"/>
        <v>104</v>
      </c>
      <c r="H12" s="403">
        <f>IF(ISNUMBER(Datos!O12),Datos!O12," - ")</f>
        <v>50</v>
      </c>
      <c r="I12" s="404">
        <f t="shared" si="2"/>
        <v>50</v>
      </c>
    </row>
    <row r="13" spans="1:9" ht="14.25" thickTop="1" thickBot="1">
      <c r="A13" s="848" t="str">
        <f>Datos!A13</f>
        <v>TOTAL</v>
      </c>
      <c r="B13" s="849">
        <f>Datos!AO13</f>
        <v>2</v>
      </c>
      <c r="C13" s="851">
        <f>Datos!AR13</f>
        <v>1</v>
      </c>
      <c r="D13" s="849">
        <f>SUBTOTAL(9,D9:D12)</f>
        <v>21</v>
      </c>
      <c r="E13" s="850">
        <f t="shared" si="0"/>
        <v>10.5</v>
      </c>
      <c r="F13" s="849">
        <f>SUBTOTAL(9,F9:F12)</f>
        <v>104</v>
      </c>
      <c r="G13" s="850">
        <f t="shared" si="1"/>
        <v>52</v>
      </c>
      <c r="H13" s="849">
        <f>SUBTOTAL(9,H9:H12)</f>
        <v>50</v>
      </c>
      <c r="I13" s="850">
        <f>IF(ISNUMBER(H13/B13),H13/B13," - ")</f>
        <v>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13</v>
      </c>
      <c r="E16" s="404">
        <f t="shared" si="3"/>
        <v>13</v>
      </c>
      <c r="F16" s="403">
        <f>IF(ISNUMBER(Datos!N16),Datos!N16," - ")</f>
        <v>43</v>
      </c>
      <c r="G16" s="404">
        <f t="shared" si="4"/>
        <v>43</v>
      </c>
      <c r="H16" s="403">
        <f>IF(ISNUMBER(Datos!O16),Datos!O16," - ")</f>
        <v>1</v>
      </c>
      <c r="I16" s="404">
        <f t="shared" si="5"/>
        <v>1</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2</v>
      </c>
      <c r="C18" s="851">
        <f>Datos!AR18</f>
        <v>1</v>
      </c>
      <c r="D18" s="849">
        <f>SUBTOTAL(9,D15:D17)</f>
        <v>14</v>
      </c>
      <c r="E18" s="850">
        <f t="shared" si="3"/>
        <v>7</v>
      </c>
      <c r="F18" s="849">
        <f>SUBTOTAL(9,F15:F17)</f>
        <v>51</v>
      </c>
      <c r="G18" s="850">
        <f t="shared" si="4"/>
        <v>25.5</v>
      </c>
      <c r="H18" s="849">
        <f>SUBTOTAL(9,H15:H17)</f>
        <v>1</v>
      </c>
      <c r="I18" s="850">
        <f>IF(ISNUMBER(H18/B18),H18/B18," - ")</f>
        <v>0.5</v>
      </c>
    </row>
    <row r="19" spans="1:9" ht="14.25" thickTop="1" thickBot="1">
      <c r="A19" s="793" t="str">
        <f>Datos!A19</f>
        <v>TOTAL JURISDICCIONES</v>
      </c>
      <c r="B19" s="794">
        <f>Datos!AP19</f>
        <v>1</v>
      </c>
      <c r="C19" s="794">
        <f>Datos!AR19</f>
        <v>1</v>
      </c>
      <c r="D19" s="794">
        <f>SUBTOTAL(9,D8:D18)</f>
        <v>35</v>
      </c>
      <c r="E19" s="795">
        <f>IF(ISNUMBER(D19/B19),D19/B19," - ")</f>
        <v>35</v>
      </c>
      <c r="F19" s="794">
        <f>SUBTOTAL(9,F8:F18)</f>
        <v>155</v>
      </c>
      <c r="G19" s="795">
        <f>IF(ISNUMBER(F19/B19),F19/B19," - ")</f>
        <v>155</v>
      </c>
      <c r="H19" s="794">
        <f>SUBTOTAL(9,H8:H18)</f>
        <v>51</v>
      </c>
      <c r="I19" s="795">
        <f>IF(ISNUMBER(H19/B19),H19/B19," - ")</f>
        <v>51</v>
      </c>
    </row>
    <row r="22" spans="1:9">
      <c r="A22" s="391" t="str">
        <f>Criterios!A4</f>
        <v>Fecha Informe: 29 may. 2024</v>
      </c>
    </row>
    <row r="27" spans="1:9">
      <c r="A27" s="414"/>
    </row>
  </sheetData>
  <sheetProtection algorithmName="SHA-512" hashValue="1RfTHPvE3rWISQaUhhpgVjb3yQMYFi/XhpTTMr+vOjVzubv02W0cPEUpMDjQeoLKGW6J72wxR8G7jq7+607sqQ==" saltValue="8z3lIktZXv5fS49NZnkx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A POBRA DE TRIVES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v>
      </c>
      <c r="C12" s="434">
        <f>IF(ISNUMBER(Datos!Q12),Datos!Q12," - ")</f>
        <v>10</v>
      </c>
      <c r="D12" s="408">
        <f>IF(ISNUMBER(Datos!R12),Datos!R12," - ")</f>
        <v>210</v>
      </c>
    </row>
    <row r="13" spans="1:4" ht="14.25" thickTop="1" thickBot="1">
      <c r="A13" s="848" t="str">
        <f>Datos!A13</f>
        <v>TOTAL</v>
      </c>
      <c r="B13" s="849">
        <f>SUBTOTAL(9,B9:B12)</f>
        <v>16</v>
      </c>
      <c r="C13" s="853">
        <f>SUBTOTAL(9,C9:C12)</f>
        <v>10</v>
      </c>
      <c r="D13" s="851">
        <f>SUBTOTAL(9,D9:D12)</f>
        <v>210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9</v>
      </c>
    </row>
    <row r="19" spans="1:4" ht="16.5" customHeight="1" thickTop="1" thickBot="1">
      <c r="A19" s="793" t="str">
        <f>Datos!A19</f>
        <v>TOTAL JURISDICCIONES</v>
      </c>
      <c r="B19" s="798">
        <f>SUBTOTAL(9,B8:B18)</f>
        <v>19</v>
      </c>
      <c r="C19" s="799">
        <f>SUBTOTAL(9,C8:C18)</f>
        <v>11</v>
      </c>
      <c r="D19" s="800">
        <f>SUBTOTAL(9,D8:D18)</f>
        <v>219</v>
      </c>
    </row>
    <row r="20" spans="1:4" ht="7.5" customHeight="1"/>
    <row r="21" spans="1:4" ht="6" customHeight="1"/>
    <row r="22" spans="1:4">
      <c r="A22" s="391" t="str">
        <f>Criterios!A4</f>
        <v>Fecha Informe: 29 may. 2024</v>
      </c>
    </row>
    <row r="27" spans="1:4">
      <c r="A27" s="414"/>
    </row>
  </sheetData>
  <sheetProtection algorithmName="SHA-512" hashValue="DGqwDPZ40tVbOooQwIH4FE+LlZlEvMtXfXxh7JVtfd7qVQ3YPWnH3BxtOq1Z4+UxCkWSu/vKQkYrmOJBY3Ft0w==" saltValue="TPcwzl/y9MAK7aloTfAa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A POBRA DE TRIVES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v>
      </c>
      <c r="C12" s="456">
        <f>IF(ISNUMBER(
   IF(J_V="SI",(Datos!J12-Datos!T12)/Datos!T12,(Datos!J12+Datos!Z12-(Datos!T12+Datos!AH12))/(Datos!T12+Datos!AH12))
     ),IF(J_V="SI",(Datos!J12-Datos!T12)/Datos!T12,(Datos!J12+Datos!Z12-(Datos!T12+Datos!AH12))/(Datos!T12+Datos!AH12))," - ")</f>
        <v>0.23529411764705882</v>
      </c>
      <c r="D12" s="456">
        <f>IF(ISNUMBER(
   IF(J_V="SI",(Datos!K12-Datos!U12)/Datos!U12,(Datos!K12+Datos!AA12-(Datos!U12+Datos!AI12))/(Datos!U12+Datos!AI12))
     ),IF(J_V="SI",(Datos!K12-Datos!U12)/Datos!U12,(Datos!K12+Datos!AA12-(Datos!U12+Datos!AI12))/(Datos!U12+Datos!AI12))," - ")</f>
        <v>0.96296296296296291</v>
      </c>
      <c r="E12" s="456">
        <f>IF(ISNUMBER(
   IF(J_V="SI",(Datos!L12-Datos!V12)/Datos!V12,(Datos!L12+Datos!AB12-(Datos!V12+Datos!AJ12))/(Datos!V12+Datos!AJ12))
     ),IF(J_V="SI",(Datos!L12-Datos!V12)/Datos!V12,(Datos!L12+Datos!AB12-(Datos!V12+Datos!AJ12))/(Datos!V12+Datos!AJ12))," - ")</f>
        <v>0.13574660633484162</v>
      </c>
      <c r="F12" s="456">
        <f>IF(ISNUMBER((Datos!M12-Datos!W12)/Datos!W12),(Datos!M12-Datos!W12)/Datos!W12," - ")</f>
        <v>0.66666666666666663</v>
      </c>
      <c r="G12" s="457">
        <f>IF(ISNUMBER((Datos!N12-Datos!X12)/Datos!X12),(Datos!N12-Datos!X12)/Datos!X12," - ")</f>
        <v>1.3636363636363635</v>
      </c>
      <c r="H12" s="455">
        <f>IF(ISNUMBER(((NºAsuntos!G12/NºAsuntos!E12)-Datos!BD12)/Datos!BD12),((NºAsuntos!G12/NºAsuntos!E12)-Datos!BD12)/Datos!BD12," - ")</f>
        <v>0.58906525573192248</v>
      </c>
      <c r="I12" s="456">
        <f>IF(ISNUMBER(((NºAsuntos!I12/NºAsuntos!G12)-Datos!BE12)/Datos!BE12),((NºAsuntos!I12/NºAsuntos!G12)-Datos!BE12)/Datos!BE12," - ")</f>
        <v>-0.42141210620677877</v>
      </c>
      <c r="J12" s="461">
        <f>IF(ISNUMBER((('Resol  Asuntos'!D12/NºAsuntos!G12)-Datos!BF12)/Datos!BF12),(('Resol  Asuntos'!D12/NºAsuntos!G12)-Datos!BF12)/Datos!BF12," - ")</f>
        <v>-0.76843910806174964</v>
      </c>
      <c r="K12" s="462">
        <f>IF(ISNUMBER((((NºAsuntos!C12+NºAsuntos!E12)/NºAsuntos!G12)-Datos!BG12)/Datos!BG12),(((NºAsuntos!C12+NºAsuntos!E12)/NºAsuntos!G12)-Datos!BG12)/Datos!BG12," - ")</f>
        <v>-0.30838435586655011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0.4228855721393035</v>
      </c>
      <c r="C13" s="855">
        <f>IF(ISNUMBER(
   IF(J_V="SI",(Datos!J13-Datos!T13)/Datos!T13,(Datos!J13+Datos!Z13-(Datos!T13+Datos!AH13))/(Datos!T13+Datos!AH13))
     ),IF(J_V="SI",(Datos!J13-Datos!T13)/Datos!T13,(Datos!J13+Datos!Z13-(Datos!T13+Datos!AH13))/(Datos!T13+Datos!AH13))," - ")</f>
        <v>0.24509803921568626</v>
      </c>
      <c r="D13" s="855">
        <f>IF(ISNUMBER(
   IF(J_V="SI",(Datos!K13-Datos!U13)/Datos!U13,(Datos!K13+Datos!AA13-(Datos!U13+Datos!AI13))/(Datos!U13+Datos!AI13))
     ),IF(J_V="SI",(Datos!K13-Datos!U13)/Datos!U13,(Datos!K13+Datos!AA13-(Datos!U13+Datos!AI13))/(Datos!U13+Datos!AI13))," - ")</f>
        <v>0.97530864197530864</v>
      </c>
      <c r="E13" s="855">
        <f>IF(ISNUMBER(
   IF(J_V="SI",(Datos!L13-Datos!V13)/Datos!V13,(Datos!L13+Datos!AB13-(Datos!V13+Datos!AJ13))/(Datos!V13+Datos!AJ13))
     ),IF(J_V="SI",(Datos!L13-Datos!V13)/Datos!V13,(Datos!L13+Datos!AB13-(Datos!V13+Datos!AJ13))/(Datos!V13+Datos!AJ13))," - ")</f>
        <v>0.13963963963963963</v>
      </c>
      <c r="F13" s="856">
        <f>IF(ISNUMBER((Datos!M13-Datos!W13)/Datos!W13),(Datos!M13-Datos!W13)/Datos!W13," - ")</f>
        <v>0.75</v>
      </c>
      <c r="G13" s="857">
        <f>IF(ISNUMBER((Datos!N13-Datos!X13)/Datos!X13),(Datos!N13-Datos!X13)/Datos!X13," - ")</f>
        <v>1.3636363636363635</v>
      </c>
      <c r="H13" s="857">
        <f>IF(ISNUMBER(((NºAsuntos!G13/NºAsuntos!E13)-Datos!BD13)/Datos!BD13),((NºAsuntos!G13/NºAsuntos!E13)-Datos!BD13)/Datos!BD13," - ")</f>
        <v>0.58646835812190146</v>
      </c>
      <c r="I13" s="857">
        <f>IF(ISNUMBER(((NºAsuntos!I13/NºAsuntos!G13)-Datos!BE13)/Datos!BE13),((NºAsuntos!I13/NºAsuntos!G13)-Datos!BE13)/Datos!BE13," - ")</f>
        <v>-0.42305743243243243</v>
      </c>
      <c r="J13" s="857">
        <f>IF(ISNUMBER((('Resol  Asuntos'!D13/NºAsuntos!G13)-Datos!BF13)/Datos!BF13),(('Resol  Asuntos'!D13/NºAsuntos!G13)-Datos!BF13)/Datos!BF13," - ")</f>
        <v>-0.75838068181818186</v>
      </c>
      <c r="K13" s="857">
        <f>IF(ISNUMBER((((NºAsuntos!C13+NºAsuntos!E13)/NºAsuntos!G13)-Datos!BG13)/Datos!BG13),(((NºAsuntos!C13+NºAsuntos!E13)/NºAsuntos!G13)-Datos!BG13)/Datos!BG13," - ")</f>
        <v>-0.30996287128712879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0.62068965517241381</v>
      </c>
      <c r="C16" s="456">
        <f>IF(ISNUMBER(
   IF(D_I="SI",(Datos!J16-Datos!T16)/Datos!T16,(Datos!J16+Datos!AD16-(Datos!T16+Datos!AL16))/(Datos!T16+Datos!AL16))
     ),IF(D_I="SI",(Datos!J16-Datos!T16)/Datos!T16,(Datos!J16+Datos!AD16-(Datos!T16+Datos!AL16))/(Datos!T16+Datos!AL16))," - ")</f>
        <v>-0.17499999999999999</v>
      </c>
      <c r="D16" s="456">
        <f>IF(ISNUMBER(
   IF(D_I="SI",(Datos!K16-Datos!U16)/Datos!U16,(Datos!K16+Datos!AE16-(Datos!U16+Datos!AM16))/(Datos!U16+Datos!AM16))
     ),IF(D_I="SI",(Datos!K16-Datos!U16)/Datos!U16,(Datos!K16+Datos!AE16-(Datos!U16+Datos!AM16))/(Datos!U16+Datos!AM16))," - ")</f>
        <v>0.97560975609756095</v>
      </c>
      <c r="E16" s="456">
        <f>IF(ISNUMBER(
   IF(D_I="SI",(Datos!L16-Datos!V16)/Datos!V16,(Datos!L16+Datos!AF16-(Datos!V16+Datos!AN16))/(Datos!V16+Datos!AN16))
     ),IF(D_I="SI",(Datos!L16-Datos!V16)/Datos!V16,(Datos!L16+Datos!AF16-(Datos!V16+Datos!AN16))/(Datos!V16+Datos!AN16))," - ")</f>
        <v>7.9365079365079361E-3</v>
      </c>
      <c r="F16" s="456">
        <f>IF(ISNUMBER((Datos!M16-Datos!W16)/Datos!W16),(Datos!M16-Datos!W16)/Datos!W16," - ")</f>
        <v>12</v>
      </c>
      <c r="G16" s="457">
        <f>IF(ISNUMBER((Datos!N16-Datos!X16)/Datos!X16),(Datos!N16-Datos!X16)/Datos!X16," - ")</f>
        <v>0.48275862068965519</v>
      </c>
      <c r="H16" s="455">
        <f>IF(ISNUMBER(((NºAsuntos!G16/NºAsuntos!E16)-Datos!BD16)/Datos!BD16),((NºAsuntos!G16/NºAsuntos!E16)-Datos!BD16)/Datos!BD16," - ")</f>
        <v>1.3946784922394682</v>
      </c>
      <c r="I16" s="456">
        <f>IF(ISNUMBER(((NºAsuntos!I16/NºAsuntos!G16)-Datos!BE16)/Datos!BE16),((NºAsuntos!I16/NºAsuntos!G16)-Datos!BE16)/Datos!BE16," - ")</f>
        <v>-0.48980991573584165</v>
      </c>
      <c r="J16" s="461">
        <f>IF(ISNUMBER((('Resol  Asuntos'!D16/NºAsuntos!G16)-Datos!BF16)/Datos!BF16),(('Resol  Asuntos'!D16/NºAsuntos!G16)-Datos!BF16)/Datos!BF16," - ")</f>
        <v>5.5802469135802468</v>
      </c>
      <c r="K16" s="462">
        <f>IF(ISNUMBER((((NºAsuntos!C16+NºAsuntos!E16)/NºAsuntos!G16)-Datos!BG16)/Datos!BG16),(((NºAsuntos!C16+NºAsuntos!E16)/NºAsuntos!G16)-Datos!BG16)/Datos!BG16," - ")</f>
        <v>-0.37258815701929482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1.4</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0.22222222222222221</v>
      </c>
      <c r="F17" s="456" t="str">
        <f>IF(ISNUMBER((Datos!M17-Datos!W17)/Datos!W17),(Datos!M17-Datos!W17)/Datos!W17," - ")</f>
        <v xml:space="preserve"> - </v>
      </c>
      <c r="G17" s="457">
        <f>IF(ISNUMBER((Datos!N17-Datos!X17)/Datos!X17),(Datos!N17-Datos!X17)/Datos!X17," - ")</f>
        <v>0.14285714285714285</v>
      </c>
      <c r="H17" s="455">
        <f>IF(ISNUMBER(((NºAsuntos!G17/NºAsuntos!E17)-Datos!BD17)/Datos!BD17),((NºAsuntos!G17/NºAsuntos!E17)-Datos!BD17)/Datos!BD17," - ")</f>
        <v>1.5454545454545452</v>
      </c>
      <c r="I17" s="456">
        <f>IF(ISNUMBER(((NºAsuntos!I17/NºAsuntos!G17)-Datos!BE17)/Datos!BE17),((NºAsuntos!I17/NºAsuntos!G17)-Datos!BE17)/Datos!BE17," - ")</f>
        <v>-0.69444444444444453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-0.52083333333333326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0.66304347826086951</v>
      </c>
      <c r="C18" s="855">
        <f>IF(ISNUMBER(
   IF(Criterios!B14="SI",(Datos!J18-Datos!T18)/Datos!T18,(Datos!J18+Datos!AD18-(Datos!T18+Datos!AL18))/(Datos!T18+Datos!AL18))
     ),IF(Criterios!B14="SI",(Datos!J18-Datos!T18)/Datos!T18,(Datos!J18+Datos!AD18-(Datos!T18+Datos!AL18))/(Datos!T18+Datos!AL18))," - ")</f>
        <v>-0.11494252873563218</v>
      </c>
      <c r="D18" s="855">
        <f>IF(ISNUMBER(
   IF(Criterios!B14="SI",(Datos!K18-Datos!U18)/Datos!U18,(Datos!K18+Datos!AE18-(Datos!U18+Datos!AM18))/(Datos!U18+Datos!AM18))
     ),IF(Criterios!B14="SI",(Datos!K18-Datos!U18)/Datos!U18,(Datos!K18+Datos!AE18-(Datos!U18+Datos!AM18))/(Datos!U18+Datos!AM18))," - ")</f>
        <v>1.1136363636363635</v>
      </c>
      <c r="E18" s="855">
        <f>IF(ISNUMBER(
   IF(Criterios!B14="SI",(Datos!L18-Datos!V18)/Datos!V18,(Datos!L18+Datos!AF18-(Datos!V18+Datos!AN18))/(Datos!V18+Datos!AN18))
     ),IF(Criterios!B14="SI",(Datos!L18-Datos!V18)/Datos!V18,(Datos!L18+Datos!AF18-(Datos!V18+Datos!AN18))/(Datos!V18+Datos!AN18))," - ")</f>
        <v>2.2222222222222223E-2</v>
      </c>
      <c r="F18" s="856">
        <f>IF(ISNUMBER((Datos!M18-Datos!W18)/Datos!W18),(Datos!M18-Datos!W18)/Datos!W18," - ")</f>
        <v>13</v>
      </c>
      <c r="G18" s="857">
        <f>IF(ISNUMBER((Datos!N18-Datos!X18)/Datos!X18),(Datos!N18-Datos!X18)/Datos!X18," - ")</f>
        <v>0.41666666666666669</v>
      </c>
      <c r="H18" s="857">
        <f>IF(ISNUMBER(((NºAsuntos!G18/NºAsuntos!E18)-Datos!BD18)/Datos!BD18),((NºAsuntos!G18/NºAsuntos!E18)-Datos!BD18)/Datos!BD18," - ")</f>
        <v>1.3881345926800472</v>
      </c>
      <c r="I18" s="857">
        <f>IF(ISNUMBER(((NºAsuntos!I18/NºAsuntos!G18)-Datos!BE18)/Datos!BE18),((NºAsuntos!I18/NºAsuntos!G18)-Datos!BE18)/Datos!BE18," - ")</f>
        <v>-0.51636798088410996</v>
      </c>
      <c r="J18" s="857">
        <f>IF(ISNUMBER((('Resol  Asuntos'!D18/NºAsuntos!G18)-Datos!BF18)/Datos!BF18),(('Resol  Asuntos'!D18/NºAsuntos!G18)-Datos!BF18)/Datos!BF18," - ")</f>
        <v>5.6236559139784941</v>
      </c>
      <c r="K18" s="857">
        <f>IF(ISNUMBER((((NºAsuntos!C18+NºAsuntos!E18)/NºAsuntos!G18)-Datos!BG18)/Datos!BG18),(((NºAsuntos!C18+NºAsuntos!E18)/NºAsuntos!G18)-Datos!BG18)/Datos!BG18," - ")</f>
        <v>-0.39208265753589239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0.49829351535836175</v>
      </c>
      <c r="C19" s="802">
        <f>IF(ISNUMBER(
   IF(J_V="SI",(Datos!J19-Datos!T19)/Datos!T19,(Datos!J19+Datos!Z19-(Datos!T19+Datos!AH19))/(Datos!T19+Datos!AH19))
     ),IF(J_V="SI",(Datos!J19-Datos!T19)/Datos!T19,(Datos!J19+Datos!Z19-(Datos!T19+Datos!AH19))/(Datos!T19+Datos!AH19))," - ")</f>
        <v>7.9365079365079361E-2</v>
      </c>
      <c r="D19" s="802">
        <f>IF(ISNUMBER(
   IF(J_V="SI",(Datos!K19-Datos!U19)/Datos!U19,(Datos!K19+Datos!AA19-(Datos!U19+Datos!AI19))/(Datos!U19+Datos!AI19))
     ),IF(J_V="SI",(Datos!K19-Datos!U19)/Datos!U19,(Datos!K19+Datos!AA19-(Datos!U19+Datos!AI19))/(Datos!U19+Datos!AI19))," - ")</f>
        <v>1.024</v>
      </c>
      <c r="E19" s="802">
        <f>IF(ISNUMBER(
   IF(J_V="SI",(Datos!L19-Datos!V19)/Datos!V19,(Datos!L19+Datos!AB19-(Datos!V19+Datos!AJ19))/(Datos!V19+Datos!AJ19))
     ),IF(J_V="SI",(Datos!L19-Datos!V19)/Datos!V19,(Datos!L19+Datos!AB19-(Datos!V19+Datos!AJ19))/(Datos!V19+Datos!AJ19))," - ")</f>
        <v>9.5238095238095233E-2</v>
      </c>
      <c r="F19" s="803">
        <f>IF(ISNUMBER((Datos!M19-Datos!W19)/Datos!W19),(Datos!M19-Datos!W19)/Datos!W19," - ")</f>
        <v>1.6923076923076923</v>
      </c>
      <c r="G19" s="804">
        <f>IF(ISNUMBER((Datos!N19-Datos!X19)/Datos!X19),(Datos!N19-Datos!X19)/Datos!X19," - ")</f>
        <v>0.9375</v>
      </c>
      <c r="H19" s="805">
        <f>IF(ISNUMBER((Tasas!B19-Datos!BD19)/Datos!BD19),(Tasas!B19-Datos!BD19)/Datos!BD19," - ")</f>
        <v>0.87517647058823533</v>
      </c>
      <c r="I19" s="806">
        <f>IF(ISNUMBER((Tasas!C19-Datos!BE19)/Datos!BE19),(Tasas!C19-Datos!BE19)/Datos!BE19," - ")</f>
        <v>-0.45887445887445888</v>
      </c>
      <c r="J19" s="807">
        <f>IF(ISNUMBER((Tasas!D19-Datos!BF19)/Datos!BF19),(Tasas!D19-Datos!BF19)/Datos!BF19," - ")</f>
        <v>-0.61572244180939828</v>
      </c>
      <c r="K19" s="807">
        <f>IF(ISNUMBER((Tasas!E19-Datos!BG19)/Datos!BG19),(Tasas!E19-Datos!BG19)/Datos!BG19," - ")</f>
        <v>-0.34089679038262838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vIEo0Dzf4iLgjBckUJ8VIl2uOeXW3Srp4pvi7qTE65u91/sPSYB8r4RUN52HfkzL6Dt0gjs42T+Dbu0pYwM/A==" saltValue="oec2n+FUjYPBwxNhP2Z0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A POBRA DE TRIVES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1.2619047619047619</v>
      </c>
      <c r="C12" s="443">
        <f>IF(ISNUMBER(NºAsuntos!I12/NºAsuntos!G12),NºAsuntos!I12/NºAsuntos!G12," - ")</f>
        <v>1.578616352201258</v>
      </c>
      <c r="D12" s="444">
        <f>IF(ISNUMBER('Resol  Asuntos'!D12/NºAsuntos!G12),'Resol  Asuntos'!D12/NºAsuntos!G12," - ")</f>
        <v>0.12578616352201258</v>
      </c>
      <c r="E12" s="445">
        <f>IF(ISNUMBER((NºAsuntos!C12+NºAsuntos!E12)/NºAsuntos!G12),(NºAsuntos!C12+NºAsuntos!E12)/NºAsuntos!G12," - ")</f>
        <v>2.5786163522012577</v>
      </c>
      <c r="G12" s="463"/>
    </row>
    <row r="13" spans="1:7" ht="14.25" thickTop="1" thickBot="1">
      <c r="A13" s="848" t="str">
        <f>Datos!A13</f>
        <v>TOTAL</v>
      </c>
      <c r="B13" s="858">
        <f>IF(ISNUMBER(NºAsuntos!G13/NºAsuntos!E13),NºAsuntos!G13/NºAsuntos!E13," - ")</f>
        <v>1.2598425196850394</v>
      </c>
      <c r="C13" s="859">
        <f>IF(ISNUMBER(NºAsuntos!I13/NºAsuntos!G13),NºAsuntos!I13/NºAsuntos!G13," - ")</f>
        <v>1.58125</v>
      </c>
      <c r="D13" s="860">
        <f>IF(ISNUMBER('Resol  Asuntos'!D13/NºAsuntos!G13),'Resol  Asuntos'!D13/NºAsuntos!G13," - ")</f>
        <v>0.13125000000000001</v>
      </c>
      <c r="E13" s="861">
        <f>IF(ISNUMBER((NºAsuntos!C13+NºAsuntos!E13)/NºAsuntos!G13),(NºAsuntos!C13+NºAsuntos!E13)/NºAsuntos!G13," - ")</f>
        <v>2.5812499999999998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1.2272727272727273</v>
      </c>
      <c r="C16" s="443">
        <f>IF(ISNUMBER(NºAsuntos!I16/NºAsuntos!G16),NºAsuntos!I16/NºAsuntos!G16," - ")</f>
        <v>1.5679012345679013</v>
      </c>
      <c r="D16" s="444">
        <f>IF(ISNUMBER('Resol  Asuntos'!D16/NºAsuntos!G16),'Resol  Asuntos'!D16/NºAsuntos!G16," - ")</f>
        <v>0.16049382716049382</v>
      </c>
      <c r="E16" s="445">
        <f>IF(ISNUMBER((NºAsuntos!C16+NºAsuntos!E16)/NºAsuntos!G16),(NºAsuntos!C16+NºAsuntos!E16)/NºAsuntos!G16," - ")</f>
        <v>2.5555555555555554</v>
      </c>
      <c r="G16" s="463"/>
    </row>
    <row r="17" spans="1:7" ht="13.5" thickBot="1">
      <c r="A17" s="402" t="str">
        <f>Datos!A17</f>
        <v>Jdos. Violencia contra la mujer</v>
      </c>
      <c r="B17" s="442">
        <f>IF(ISNUMBER(NºAsuntos!G17/NºAsuntos!E17),NºAsuntos!G17/NºAsuntos!E17," - ")</f>
        <v>1.0909090909090908</v>
      </c>
      <c r="C17" s="443">
        <f>IF(ISNUMBER(NºAsuntos!I17/NºAsuntos!G17),NºAsuntos!I17/NºAsuntos!G17," - ")</f>
        <v>0.91666666666666663</v>
      </c>
      <c r="D17" s="444">
        <f>IF(ISNUMBER('Resol  Asuntos'!D17/NºAsuntos!G17),'Resol  Asuntos'!D17/NºAsuntos!G17," - ")</f>
        <v>8.3333333333333329E-2</v>
      </c>
      <c r="E17" s="445">
        <f>IF(ISNUMBER((NºAsuntos!C17+NºAsuntos!E17)/NºAsuntos!G17),(NºAsuntos!C17+NºAsuntos!E17)/NºAsuntos!G17," - ")</f>
        <v>1.9166666666666667</v>
      </c>
      <c r="G17" s="463"/>
    </row>
    <row r="18" spans="1:7" ht="14.25" thickTop="1" thickBot="1">
      <c r="A18" s="848" t="str">
        <f>Datos!A18</f>
        <v>TOTAL</v>
      </c>
      <c r="B18" s="858">
        <f>IF(ISNUMBER(NºAsuntos!G18/NºAsuntos!E18),NºAsuntos!G18/NºAsuntos!E18," - ")</f>
        <v>1.2077922077922079</v>
      </c>
      <c r="C18" s="859">
        <f>IF(ISNUMBER(NºAsuntos!I18/NºAsuntos!G18),NºAsuntos!I18/NºAsuntos!G18," - ")</f>
        <v>1.4838709677419355</v>
      </c>
      <c r="D18" s="862">
        <f>IF(ISNUMBER('Resol  Asuntos'!D18/NºAsuntos!G18),'Resol  Asuntos'!D18/NºAsuntos!G18," - ")</f>
        <v>0.15053763440860216</v>
      </c>
      <c r="E18" s="861">
        <f>IF(ISNUMBER((NºAsuntos!C18+NºAsuntos!E18)/NºAsuntos!G18),(NºAsuntos!C18+NºAsuntos!E18)/NºAsuntos!G18," - ")</f>
        <v>2.4731182795698925</v>
      </c>
      <c r="G18" s="463"/>
    </row>
    <row r="19" spans="1:7" ht="15.75" customHeight="1" thickTop="1" thickBot="1">
      <c r="A19" s="793" t="str">
        <f>Datos!A19</f>
        <v>TOTAL JURISDICCIONES</v>
      </c>
      <c r="B19" s="808">
        <f>IF(ISNUMBER(NºAsuntos!G19/NºAsuntos!E19),NºAsuntos!G19/NºAsuntos!E19," - ")</f>
        <v>1.2401960784313726</v>
      </c>
      <c r="C19" s="809">
        <f>IF(ISNUMBER(NºAsuntos!I19/NºAsuntos!G19),NºAsuntos!I19/NºAsuntos!G19," - ")</f>
        <v>1.5454545454545454</v>
      </c>
      <c r="D19" s="810">
        <f>IF(ISNUMBER('Resol  Asuntos'!D19/NºAsuntos!G19),'Resol  Asuntos'!D19/NºAsuntos!G19," - ")</f>
        <v>0.13833992094861661</v>
      </c>
      <c r="E19" s="811">
        <f>IF(ISNUMBER((NºAsuntos!C19+NºAsuntos!E19)/NºAsuntos!G19),(NºAsuntos!C19+NºAsuntos!E19)/NºAsuntos!G19," - ")</f>
        <v>2.541501976284585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PfZ2D8AEYr95mQBZv/kqAUHdl/2bySopw29A/LvUdF6BfAhra5ISxEQBFNYCtX8t3xDSTuRLeh+OhOSi+E8sQ==" saltValue="50kP4dhnx4Qx35uitmli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A POBRA DE TRIVES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v>
      </c>
      <c r="Y12" s="334">
        <f t="shared" si="0"/>
        <v>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v>
      </c>
      <c r="AJ12" s="229" t="str">
        <f>IF(ISNUMBER(Datos!BW12),Datos!BW12," - ")</f>
        <v xml:space="preserve"> - </v>
      </c>
      <c r="AK12" s="228" t="str">
        <f>IF(ISNUMBER(Datos!BX12),Datos!BX12," - ")</f>
        <v xml:space="preserve"> - </v>
      </c>
      <c r="AL12" s="243">
        <f>IF(ISNUMBER(NºAsuntos!G12/NºAsuntos!E12),NºAsuntos!G12/NºAsuntos!E12," - ")</f>
        <v>1.2619047619047619</v>
      </c>
      <c r="AM12" s="260">
        <f>IF(ISNUMBER(((NºAsuntos!I12/NºAsuntos!G12)*11)/factor_trimestre),((NºAsuntos!I12/NºAsuntos!G12)*11)/factor_trimestre," - ")</f>
        <v>4.7358490566037741</v>
      </c>
      <c r="AN12" s="244">
        <f>IF(ISNUMBER('Resol  Asuntos'!D12/NºAsuntos!G12),'Resol  Asuntos'!D12/NºAsuntos!G12," - ")</f>
        <v>0.12578616352201258</v>
      </c>
      <c r="AO12" s="245">
        <f>IF(ISNUMBER((NºAsuntos!C12+NºAsuntos!E12)/NºAsuntos!G12),(NºAsuntos!C12+NºAsuntos!E12)/NºAsuntos!G12," - ")</f>
        <v>2.5786163522012577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10</v>
      </c>
      <c r="Y13" s="868">
        <f t="shared" si="4"/>
        <v>11</v>
      </c>
      <c r="Z13" s="868">
        <f t="shared" si="4"/>
        <v>0</v>
      </c>
      <c r="AA13" s="868">
        <f t="shared" si="4"/>
        <v>2</v>
      </c>
      <c r="AB13" s="868">
        <f t="shared" si="4"/>
        <v>210</v>
      </c>
      <c r="AC13" s="868">
        <f t="shared" si="4"/>
        <v>2</v>
      </c>
      <c r="AD13" s="868">
        <f t="shared" si="4"/>
        <v>0</v>
      </c>
      <c r="AE13" s="872">
        <f t="shared" si="4"/>
        <v>0</v>
      </c>
      <c r="AF13" s="865">
        <f t="shared" si="4"/>
        <v>0</v>
      </c>
      <c r="AG13" s="873">
        <f t="shared" si="4"/>
        <v>0</v>
      </c>
      <c r="AH13" s="870">
        <f t="shared" si="4"/>
        <v>0</v>
      </c>
      <c r="AI13" s="865">
        <f t="shared" si="4"/>
        <v>21</v>
      </c>
      <c r="AJ13" s="867">
        <f t="shared" si="4"/>
        <v>0</v>
      </c>
      <c r="AK13" s="870">
        <f>SUBTOTAL(9,AK9:AK12)</f>
        <v>0</v>
      </c>
      <c r="AL13" s="874">
        <f>IF(ISNUMBER(NºAsuntos!G13/NºAsuntos!E13),NºAsuntos!G13/NºAsuntos!E13," - ")</f>
        <v>1.2598425196850394</v>
      </c>
      <c r="AM13" s="874">
        <f>IF(ISNUMBER(((NºAsuntos!I13/NºAsuntos!G13)*11)/factor_trimestre),((NºAsuntos!I13/NºAsuntos!G13)*11)/factor_trimestre," - ")</f>
        <v>4.7437500000000004</v>
      </c>
      <c r="AN13" s="875">
        <f>IF(ISNUMBER('Resol  Asuntos'!D13/NºAsuntos!G13),'Resol  Asuntos'!D13/NºAsuntos!G13," - ")</f>
        <v>0.13125000000000001</v>
      </c>
      <c r="AO13" s="876">
        <f>IF(ISNUMBER((NºAsuntos!C13+NºAsuntos!E13)/NºAsuntos!G13),(NºAsuntos!C13+NºAsuntos!E13)/NºAsuntos!G13," - ")</f>
        <v>2.5812499999999998</v>
      </c>
      <c r="AP13" s="877" t="str">
        <f t="shared" si="2"/>
        <v xml:space="preserve"> - </v>
      </c>
      <c r="AQ13" s="877">
        <f>IF(ISNUMBER((H13-W13+K13)/(F13)),(H13-W13+K13)/(F13)," - ")</f>
        <v>-0.5</v>
      </c>
      <c r="AR13" s="878">
        <f>IF(ISNUMBER((Datos!P13-Datos!Q13)/(Datos!R13-Datos!P13+Datos!Q13)),(Datos!P13-Datos!Q13)/(Datos!R13-Datos!P13+Datos!Q13)," - ")</f>
        <v>2.9411764705882353E-2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142</v>
      </c>
      <c r="G16" s="333">
        <f>IF(ISNUMBER(IF(D_I="SI",Datos!I16,Datos!I16+Datos!AC16)),IF(D_I="SI",Datos!I16,Datos!I16+Datos!AC16)," - ")</f>
        <v>141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v>
      </c>
      <c r="X16" s="226">
        <f>IF(ISNUMBER(Datos!Q16),Datos!Q16," - ")</f>
        <v>1</v>
      </c>
      <c r="Y16" s="334">
        <f t="shared" ref="Y16:Y17" si="7">SUM(W16:X16)</f>
        <v>82</v>
      </c>
      <c r="Z16" s="335" t="str">
        <f>IF(ISNUMBER(Datos!CC16),Datos!CC16," - ")</f>
        <v xml:space="preserve"> - </v>
      </c>
      <c r="AA16" s="332">
        <f>IF(ISNUMBER(IF(D_I="SI",Datos!L16,Datos!L16+Datos!AF16)),IF(D_I="SI",Datos!L16,Datos!L16+Datos!AF16)," - ")</f>
        <v>127</v>
      </c>
      <c r="AB16" s="334">
        <f>IF(ISNUMBER(Datos!R16),Datos!R16," - ")</f>
        <v>9</v>
      </c>
      <c r="AC16" s="334">
        <f t="shared" si="6"/>
        <v>136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v>
      </c>
      <c r="AJ16" s="231" t="str">
        <f>IF(ISNUMBER(Datos!BW16),Datos!BW16," - ")</f>
        <v xml:space="preserve"> - </v>
      </c>
      <c r="AK16" s="232" t="str">
        <f>IF(ISNUMBER(Datos!BX16),Datos!BX16," - ")</f>
        <v xml:space="preserve"> - </v>
      </c>
      <c r="AL16" s="243">
        <f>IF(ISNUMBER(NºAsuntos!G16/NºAsuntos!E16),NºAsuntos!G16/NºAsuntos!E16," - ")</f>
        <v>1.2272727272727273</v>
      </c>
      <c r="AM16" s="260">
        <f>IF(ISNUMBER(((NºAsuntos!I16/NºAsuntos!G16)*11)/factor_trimestre),((NºAsuntos!I16/NºAsuntos!G16)*11)/factor_trimestre," - ")</f>
        <v>4.7037037037037042</v>
      </c>
      <c r="AN16" s="244">
        <f>IF(ISNUMBER('Resol  Asuntos'!D16/NºAsuntos!G16),'Resol  Asuntos'!D16/NºAsuntos!G16," - ")</f>
        <v>0.16049382716049382</v>
      </c>
      <c r="AO16" s="245">
        <f>IF(ISNUMBER((NºAsuntos!C16+NºAsuntos!E16)/NºAsuntos!G16),(NºAsuntos!C16+NºAsuntos!E16)/NºAsuntos!G16," - ")</f>
        <v>2.5555555555555554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11</v>
      </c>
      <c r="AB17" s="334">
        <f>IF(ISNUMBER(Datos!R17),Datos!R17," - ")</f>
        <v>0</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1.0909090909090908</v>
      </c>
      <c r="AM17" s="260">
        <f>IF(ISNUMBER(((NºAsuntos!I17/NºAsuntos!G17)*11)/factor_trimestre),((NºAsuntos!I17/NºAsuntos!G17)*11)/factor_trimestre," - ")</f>
        <v>2.75</v>
      </c>
      <c r="AN17" s="244">
        <f>IF(ISNUMBER('Resol  Asuntos'!D17/NºAsuntos!G17),'Resol  Asuntos'!D17/NºAsuntos!G17," - ")</f>
        <v>8.3333333333333329E-2</v>
      </c>
      <c r="AO17" s="245">
        <f>IF(ISNUMBER((NºAsuntos!C17+NºAsuntos!E17)/NºAsuntos!G17),(NºAsuntos!C17+NºAsuntos!E17)/NºAsuntos!G17," - ")</f>
        <v>1.9166666666666667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142</v>
      </c>
      <c r="G18" s="866">
        <f>SUBTOTAL(9,G15:G17)</f>
        <v>153</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93</v>
      </c>
      <c r="X18" s="867">
        <f t="shared" si="11"/>
        <v>1</v>
      </c>
      <c r="Y18" s="868">
        <f t="shared" si="11"/>
        <v>94</v>
      </c>
      <c r="Z18" s="868">
        <f t="shared" si="11"/>
        <v>0</v>
      </c>
      <c r="AA18" s="868">
        <f t="shared" si="11"/>
        <v>138</v>
      </c>
      <c r="AB18" s="868">
        <f t="shared" si="11"/>
        <v>9</v>
      </c>
      <c r="AC18" s="868">
        <f t="shared" si="11"/>
        <v>147</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1.2077922077922079</v>
      </c>
      <c r="AM18" s="874">
        <f>IF(ISNUMBER(((NºAsuntos!I18/NºAsuntos!G18)*11)/factor_trimestre),((NºAsuntos!I18/NºAsuntos!G18)*11)/factor_trimestre," - ")</f>
        <v>4.4516129032258069</v>
      </c>
      <c r="AN18" s="875">
        <f>IF(ISNUMBER('Resol  Asuntos'!D18/NºAsuntos!G18),'Resol  Asuntos'!D18/NºAsuntos!G18," - ")</f>
        <v>0.15053763440860216</v>
      </c>
      <c r="AO18" s="876">
        <f>IF(ISNUMBER((NºAsuntos!C18+NºAsuntos!E18)/NºAsuntos!G18),(NºAsuntos!C18+NºAsuntos!E18)/NºAsuntos!G18," - ")</f>
        <v>2.4731182795698925</v>
      </c>
      <c r="AP18" s="877" t="str">
        <f t="shared" si="2"/>
        <v xml:space="preserve"> - </v>
      </c>
      <c r="AQ18" s="877">
        <f>IF(ISNUMBER((H18-W18+K18)/(F18)),(H18-W18+K18)/(F18)," - ")</f>
        <v>-0.65492957746478875</v>
      </c>
      <c r="AR18" s="878">
        <f>IF(ISNUMBER((Datos!P18-Datos!Q18)/(Datos!R18-Datos!P18+Datos!Q18)),(Datos!P18-Datos!Q18)/(Datos!R18-Datos!P18+Datos!Q18)," - ")</f>
        <v>0.2857142857142857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144</v>
      </c>
      <c r="G19" s="821">
        <f t="shared" si="13"/>
        <v>155</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94</v>
      </c>
      <c r="X19" s="821">
        <f t="shared" si="14"/>
        <v>11</v>
      </c>
      <c r="Y19" s="828">
        <f t="shared" si="14"/>
        <v>105</v>
      </c>
      <c r="Z19" s="828">
        <f t="shared" si="14"/>
        <v>0</v>
      </c>
      <c r="AA19" s="828">
        <f t="shared" si="14"/>
        <v>140</v>
      </c>
      <c r="AB19" s="828">
        <f t="shared" si="14"/>
        <v>219</v>
      </c>
      <c r="AC19" s="828">
        <f t="shared" si="14"/>
        <v>149</v>
      </c>
      <c r="AD19" s="828">
        <f t="shared" si="14"/>
        <v>0</v>
      </c>
      <c r="AE19" s="830">
        <f t="shared" si="14"/>
        <v>0</v>
      </c>
      <c r="AF19" s="831">
        <f t="shared" si="14"/>
        <v>0</v>
      </c>
      <c r="AG19" s="832">
        <f t="shared" si="14"/>
        <v>0</v>
      </c>
      <c r="AH19" s="830">
        <f t="shared" si="14"/>
        <v>0</v>
      </c>
      <c r="AI19" s="820">
        <f t="shared" si="14"/>
        <v>35</v>
      </c>
      <c r="AJ19" s="820">
        <f t="shared" si="14"/>
        <v>0</v>
      </c>
      <c r="AK19" s="830">
        <f t="shared" si="14"/>
        <v>0</v>
      </c>
      <c r="AL19" s="884">
        <f>IF(ISNUMBER(NºAsuntos!G19/NºAsuntos!E19),NºAsuntos!G19/NºAsuntos!E19," - ")</f>
        <v>1.2401960784313726</v>
      </c>
      <c r="AM19" s="885">
        <f>IF(ISNUMBER(((NºAsuntos!I19/NºAsuntos!G19)*11)/factor_trimestre),((NºAsuntos!I19/NºAsuntos!G19)*11)/factor_trimestre," - ")</f>
        <v>4.6363636363636367</v>
      </c>
      <c r="AN19" s="885">
        <f>IF(ISNUMBER('Resol  Asuntos'!D19/NºAsuntos!G19),'Resol  Asuntos'!D19/NºAsuntos!G19," - ")</f>
        <v>0.13833992094861661</v>
      </c>
      <c r="AO19" s="886">
        <f>IF(ISNUMBER((NºAsuntos!C19+NºAsuntos!E19)/NºAsuntos!G19),(NºAsuntos!C19+NºAsuntos!E19)/NºAsuntos!G19," - ")</f>
        <v>2.541501976284585</v>
      </c>
      <c r="AP19" s="887" t="str">
        <f t="shared" si="2"/>
        <v xml:space="preserve"> - </v>
      </c>
      <c r="AQ19" s="888">
        <f>IF(OR(ISNUMBER(FIND("01",Criterios!A8,1)),ISNUMBER(FIND("02",Criterios!A8,1)),ISNUMBER(FIND("03",Criterios!A8,1)),ISNUMBER(FIND("04",Criterios!A8,1))),(I19-W19+K19)/(F19-K19),(H19-W19+K19)/(F19-K19))</f>
        <v>-0.65277777777777779</v>
      </c>
      <c r="AR19" s="889">
        <f>IF(ISNUMBER((Datos!P19-Datos!Q19)/(Datos!R19-Datos!P19+Datos!Q19)),(Datos!P19-Datos!Q19)/(Datos!R19-Datos!P19+Datos!Q19)," - ")</f>
        <v>3.7914691943127965E-2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80.829037686547608</v>
      </c>
      <c r="G21" s="253">
        <f>IF(ISNUMBER(STDEV(G8:G18)),STDEV(G8:G18),"-")</f>
        <v>77.817093237925562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45.517029780072427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8.8468450120179387</v>
      </c>
      <c r="AJ21" s="252">
        <f t="shared" si="18"/>
        <v>0</v>
      </c>
      <c r="AK21" s="254">
        <f t="shared" si="18"/>
        <v>0</v>
      </c>
      <c r="AL21" s="249">
        <f t="shared" si="18"/>
        <v>0.10606966888026474</v>
      </c>
      <c r="AM21" s="250">
        <f t="shared" si="18"/>
        <v>1.0437127962581978</v>
      </c>
      <c r="AN21" s="250">
        <f t="shared" si="18"/>
        <v>0.35605959039477192</v>
      </c>
      <c r="AO21" s="251">
        <f t="shared" si="18"/>
        <v>0.34785749114727582</v>
      </c>
      <c r="AP21" s="291" t="str">
        <f t="shared" si="18"/>
        <v>-</v>
      </c>
      <c r="AQ21" s="292">
        <f t="shared" si="18"/>
        <v>0.10955175483171894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ZRlsU5WFpt+0wJPQ2nqvxkkzLklNhBoai+OfnePnZNiWSzhRRY63+DmmduCKV5c+IB7bQSElYh+uRieV2N7+A==" saltValue="wWKV88M6950bYnMLvtMW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A POBRA DE TRIVES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0.66666666666666663</v>
      </c>
      <c r="I12" s="350">
        <f>IF(ISNUMBER((Tasas!C12-Datos!BE12)/Datos!BE12),(Tasas!C12-Datos!BE12)/Datos!BE12," - ")</f>
        <v>-0.42141210620677877</v>
      </c>
      <c r="J12" s="349">
        <f>IF(ISNUMBER((Tasas!D12-Datos!BF12)/Datos!BF12),(Tasas!D12-Datos!BF12)/Datos!BF12," - ")</f>
        <v>-0.76843910806174964</v>
      </c>
      <c r="K12" s="351">
        <f>IF(ISNUMBER((Tasas!E12-Datos!BG12)/Datos!BG12),(Tasas!E12-Datos!BG12)/Datos!BG12," - ")</f>
        <v>-0.30838435586655011</v>
      </c>
      <c r="M12" t="e">
        <f>IF(Monitorios="SI",Datos!CE12,0)</f>
        <v>#REF!</v>
      </c>
      <c r="N12" t="e">
        <f>IF(Monitorios="SI",Datos!CF12,0)</f>
        <v>#REF!</v>
      </c>
      <c r="O12" t="e">
        <f>IF(Monitorios="SI",Datos!CG12,0)</f>
        <v>#REF!</v>
      </c>
      <c r="P12" t="e">
        <f>IF(Monitorios="SI",Datos!CH12,0)</f>
        <v>#REF!</v>
      </c>
      <c r="Q12">
        <f>IF(J_V="SI",0,Datos!AG12)</f>
        <v>74</v>
      </c>
      <c r="R12">
        <f>IF(J_V="SI",0,Datos!AH12)</f>
        <v>37</v>
      </c>
      <c r="S12">
        <f>IF(J_V="SI",0,Datos!AI12)</f>
        <v>29</v>
      </c>
      <c r="T12">
        <f>IF(J_V="SI",0,Datos!AJ12)</f>
        <v>82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0.75</v>
      </c>
      <c r="I13" s="357">
        <f>IF(ISNUMBER((Tasas!C13-Datos!BE13)/Datos!BE13),(Tasas!C13-Datos!BE13)/Datos!BE13," - ")</f>
        <v>-0.42305743243243243</v>
      </c>
      <c r="J13" s="355">
        <f>IF(ISNUMBER((Tasas!D13-Datos!BF13)/Datos!BF13),(Tasas!D13-Datos!BF13)/Datos!BF13," - ")</f>
        <v>-0.75838068181818186</v>
      </c>
      <c r="K13" s="358">
        <f>IF(ISNUMBER((Tasas!E13-Datos!BG13)/Datos!BG13),(Tasas!E13-Datos!BG13)/Datos!BG13," - ")</f>
        <v>-0.30996287128712879</v>
      </c>
      <c r="M13" t="e">
        <f>IF(Monitorios="SI",Datos!CE13,0)</f>
        <v>#REF!</v>
      </c>
      <c r="N13" t="e">
        <f>IF(Monitorios="SI",Datos!CF13,0)</f>
        <v>#REF!</v>
      </c>
      <c r="O13" t="e">
        <f>IF(Monitorios="SI",Datos!CG13,0)</f>
        <v>#REF!</v>
      </c>
      <c r="P13" t="e">
        <f>IF(Monitorios="SI",Datos!CH13,0)</f>
        <v>#REF!</v>
      </c>
      <c r="Q13">
        <f>IF(J_V="SI",0,Datos!AG13)</f>
        <v>74</v>
      </c>
      <c r="R13">
        <f>IF(J_V="SI",0,Datos!AH13)</f>
        <v>37</v>
      </c>
      <c r="S13">
        <f>IF(J_V="SI",0,Datos!AI13)</f>
        <v>29</v>
      </c>
      <c r="T13">
        <f>IF(J_V="SI",0,Datos!AJ13)</f>
        <v>82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0.62068965517241381</v>
      </c>
      <c r="E16" s="348">
        <f>IF(ISNUMBER(
   IF(D_I="SI",(Datos!J16-Datos!T16)/Datos!T16,(Datos!J16+Datos!AD16-(Datos!T16+Datos!AL16))/(Datos!T16+Datos!AL16))
     ),IF(D_I="SI",(Datos!J16-Datos!T16)/Datos!T16,(Datos!J16+Datos!AD16-(Datos!T16+Datos!AL16))/(Datos!T16+Datos!AL16))," - ")</f>
        <v>-0.17499999999999999</v>
      </c>
      <c r="F16" s="348">
        <f>IF(ISNUMBER(
   IF(D_I="SI",(Datos!K16-Datos!U16)/Datos!U16,(Datos!K16+Datos!AE16-(Datos!U16+Datos!AM16))/(Datos!U16+Datos!AM16))
     ),IF(D_I="SI",(Datos!K16-Datos!U16)/Datos!U16,(Datos!K16+Datos!AE16-(Datos!U16+Datos!AM16))/(Datos!U16+Datos!AM16))," - ")</f>
        <v>0.97560975609756095</v>
      </c>
      <c r="G16" s="349">
        <f>IF(ISNUMBER(
   IF(D_I="SI",(Datos!L16-Datos!V16)/Datos!V16,(Datos!L16+Datos!AF16-(Datos!V16+Datos!AN16))/(Datos!V16+Datos!AN16))
     ),IF(D_I="SI",(Datos!L16-Datos!V16)/Datos!V16,(Datos!L16+Datos!AF16-(Datos!V16+Datos!AN16))/(Datos!V16+Datos!AN16))," - ")</f>
        <v>7.9365079365079361E-3</v>
      </c>
      <c r="H16" s="230">
        <f>IF(ISNUMBER((Datos!M16-Datos!W16)/Datos!W16),(Datos!M16-Datos!W16)/Datos!W16," - ")</f>
        <v>12</v>
      </c>
      <c r="I16" s="350">
        <f>IF(ISNUMBER((Tasas!C16-Datos!BE16)/Datos!BE16),(Tasas!C16-Datos!BE16)/Datos!BE16," - ")</f>
        <v>-0.48980991573584165</v>
      </c>
      <c r="J16" s="349">
        <f>IF(ISNUMBER((Tasas!D16-Datos!BF16)/Datos!BF16),(Tasas!D16-Datos!BF16)/Datos!BF16," - ")</f>
        <v>5.5802469135802468</v>
      </c>
      <c r="K16" s="351">
        <f>IF(ISNUMBER((Tasas!E16-Datos!BG16)/Datos!BG16),(Tasas!E16-Datos!BG16)/Datos!BG16," - ")</f>
        <v>-0.37258815701929482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1.4</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0.22222222222222221</v>
      </c>
      <c r="H17" s="230" t="str">
        <f>IF(ISNUMBER((Datos!M17-Datos!W17)/Datos!W17),(Datos!M17-Datos!W17)/Datos!W17," - ")</f>
        <v xml:space="preserve"> - </v>
      </c>
      <c r="I17" s="350">
        <f>IF(ISNUMBER((Tasas!C17-Datos!BE17)/Datos!BE17),(Tasas!C17-Datos!BE17)/Datos!BE17," - ")</f>
        <v>-0.69444444444444453</v>
      </c>
      <c r="J17" s="349" t="str">
        <f>IF(ISNUMBER((Tasas!D17-Datos!BF17)/Datos!BF17),(Tasas!D17-Datos!BF17)/Datos!BF17," - ")</f>
        <v xml:space="preserve"> - </v>
      </c>
      <c r="K17" s="351">
        <f>IF(ISNUMBER((Tasas!E17-Datos!BG17)/Datos!BG17),(Tasas!E17-Datos!BG17)/Datos!BG17," - ")</f>
        <v>-0.52083333333333326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0.66304347826086951</v>
      </c>
      <c r="E18" s="354">
        <f>IF(ISNUMBER(
   IF(D_I="SI",(Datos!J18-Datos!T18)/Datos!T18,(Datos!J18+Datos!AD18-(Datos!T18+Datos!AL18))/(Datos!T18+Datos!AL18))
     ),IF(D_I="SI",(Datos!J18-Datos!T18)/Datos!T18,(Datos!J18+Datos!AD18-(Datos!T18+Datos!AL18))/(Datos!T18+Datos!AL18))," - ")</f>
        <v>-0.11494252873563218</v>
      </c>
      <c r="F18" s="354">
        <f>IF(ISNUMBER(
   IF(D_I="SI",(Datos!K18-Datos!U18)/Datos!U18,(Datos!K18+Datos!AE18-(Datos!U18+Datos!AM18))/(Datos!U18+Datos!AM18))
     ),IF(D_I="SI",(Datos!K18-Datos!U18)/Datos!U18,(Datos!K18+Datos!AE18-(Datos!U18+Datos!AM18))/(Datos!U18+Datos!AM18))," - ")</f>
        <v>1.1136363636363635</v>
      </c>
      <c r="G18" s="355">
        <f>IF(ISNUMBER(
   IF(D_I="SI",(Datos!L18-Datos!V18)/Datos!V18,(Datos!L18+Datos!AF18-(Datos!V18+Datos!AN18))/(Datos!V18+Datos!AN18))
     ),IF(D_I="SI",(Datos!L18-Datos!V18)/Datos!V18,(Datos!L18+Datos!AF18-(Datos!V18+Datos!AN18))/(Datos!V18+Datos!AN18))," - ")</f>
        <v>2.2222222222222223E-2</v>
      </c>
      <c r="H18" s="356">
        <f>IF(ISNUMBER((Datos!M18-Datos!W18)/Datos!W18),(Datos!M18-Datos!W18)/Datos!W18," - ")</f>
        <v>13</v>
      </c>
      <c r="I18" s="357">
        <f>IF(ISNUMBER((Tasas!C18-Datos!BE18)/Datos!BE18),(Tasas!C18-Datos!BE18)/Datos!BE18," - ")</f>
        <v>-0.51636798088410996</v>
      </c>
      <c r="J18" s="355">
        <f>IF(ISNUMBER((Tasas!D18-Datos!BF18)/Datos!BF18),(Tasas!D18-Datos!BF18)/Datos!BF18," - ")</f>
        <v>5.6236559139784941</v>
      </c>
      <c r="K18" s="358">
        <f>IF(ISNUMBER((Tasas!E18-Datos!BG18)/Datos!BG18),(Tasas!E18-Datos!BG18)/Datos!BG18," - ")</f>
        <v>-0.39208265753589239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0.49829351535836175</v>
      </c>
      <c r="E19" s="363">
        <f>IF(ISNUMBER(
   IF(J_V="SI",(Datos!J19-Datos!T19)/Datos!T19,(Datos!J19+Datos!Z19-(Datos!T19+Datos!AH19))/(Datos!T19+Datos!AH19))
     ),IF(J_V="SI",(Datos!J19-Datos!T19)/Datos!T19,(Datos!J19+Datos!Z19-(Datos!T19+Datos!AH19))/(Datos!T19+Datos!AH19))," - ")</f>
        <v>7.9365079365079361E-2</v>
      </c>
      <c r="F19" s="363">
        <f>IF(ISNUMBER(
   IF(J_V="SI",(Datos!K19-Datos!U19)/Datos!U19,(Datos!K19+Datos!AA19-(Datos!U19+Datos!AI19))/(Datos!U19+Datos!AI19))
     ),IF(J_V="SI",(Datos!K19-Datos!U19)/Datos!U19,(Datos!K19+Datos!AA19-(Datos!U19+Datos!AI19))/(Datos!U19+Datos!AI19))," - ")</f>
        <v>1.024</v>
      </c>
      <c r="G19" s="364">
        <f>IF(ISNUMBER(
   IF(J_V="SI",(Datos!L19-Datos!V19)/Datos!V19,(Datos!L19+Datos!AB19-(Datos!V19+Datos!AJ19))/(Datos!V19+Datos!AJ19))
     ),IF(J_V="SI",(Datos!L19-Datos!V19)/Datos!V19,(Datos!L19+Datos!AB19-(Datos!V19+Datos!AJ19))/(Datos!V19+Datos!AJ19))," - ")</f>
        <v>9.5238095238095233E-2</v>
      </c>
      <c r="H19" s="365">
        <f>IF(ISNUMBER((Datos!M19-Datos!W19)/Datos!W19),(Datos!M19-Datos!W19)/Datos!W19," - ")</f>
        <v>1.6923076923076923</v>
      </c>
      <c r="I19" s="362">
        <f>IF(ISNUMBER((Tasas!C19-Datos!BE19)/Datos!BE19),(Tasas!C19-Datos!BE19)/Datos!BE19," - ")</f>
        <v>-0.45887445887445888</v>
      </c>
      <c r="J19" s="363">
        <f>IF(ISNUMBER((Tasas!D19-Datos!BF19)/Datos!BF19),(Tasas!D19-Datos!BF19)/Datos!BF19," - ")</f>
        <v>-0.61572244180939828</v>
      </c>
      <c r="K19" s="364">
        <f>IF(ISNUMBER((Tasas!E19-Datos!BG19)/Datos!BG19),(Tasas!E19-Datos!BG19)/Datos!BG19," - ")</f>
        <v>-0.34089679038262838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0.36166736674914107</v>
      </c>
      <c r="E21" s="278">
        <f t="shared" si="1"/>
        <v>0.41470226252099379</v>
      </c>
      <c r="F21" s="278">
        <f t="shared" si="1"/>
        <v>1.1310448688853363</v>
      </c>
      <c r="G21" s="279">
        <f t="shared" si="1"/>
        <v>0.46826809233473921</v>
      </c>
      <c r="H21" s="285">
        <f t="shared" si="1"/>
        <v>6.8202364328518712</v>
      </c>
      <c r="I21" s="277">
        <f t="shared" si="1"/>
        <v>0.11165790480586871</v>
      </c>
      <c r="J21" s="278">
        <f t="shared" si="1"/>
        <v>3.6750880872512512</v>
      </c>
      <c r="K21" s="279">
        <f t="shared" si="1"/>
        <v>8.6697732196879151E-2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sBMmv198jmXb2QybYOp3obOqbVetG3l8Ae3QtgwhBcR8FA4P7N0KJK5aOmMQGW9t6j+xRL7yAvvIEFu1tlYzQ==" saltValue="pgyfqbBPHkviag75EMHq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